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comments1.xml" ContentType="application/vnd.openxmlformats-officedocument.spreadsheetml.comments+xml"/>
  <Override PartName="/xl/threadedComments/threadedComment1.xml" ContentType="application/vnd.ms-excel.threadedcomments+xml"/>
  <Override PartName="/xl/tables/table13.xml" ContentType="application/vnd.openxmlformats-officedocument.spreadsheetml.table+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5" Type="http://schemas.microsoft.com/office/2020/02/relationships/classificationlabels" Target="docMetadata/LabelInfo.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2"/>
  <workbookPr defaultThemeVersion="166925"/>
  <mc:AlternateContent xmlns:mc="http://schemas.openxmlformats.org/markup-compatibility/2006">
    <mc:Choice Requires="x15">
      <x15ac:absPath xmlns:x15ac="http://schemas.microsoft.com/office/spreadsheetml/2010/11/ac" url="https://tti.sharepoint.com/sites/TransitMobility/Shared Documents/CapitalMetro-MRA_2022-26/TO06-YardAutomation/T2-PostDemoAnalysis/JobImpactCalc/"/>
    </mc:Choice>
  </mc:AlternateContent>
  <xr:revisionPtr revIDLastSave="766" documentId="8_{3021D99E-F933-4C6F-A872-DFE8344B7A4F}" xr6:coauthVersionLast="47" xr6:coauthVersionMax="47" xr10:uidLastSave="{107A64C4-081B-43C3-869B-35116AED949C}"/>
  <bookViews>
    <workbookView xWindow="-108" yWindow="-108" windowWidth="23256" windowHeight="12456" firstSheet="1" activeTab="1" xr2:uid="{287FB422-9BEF-4269-8480-12F81B968EA2}"/>
  </bookViews>
  <sheets>
    <sheet name="Intro" sheetId="11" r:id="rId1"/>
    <sheet name="Use Case 1" sheetId="4" r:id="rId2"/>
    <sheet name="Position Task List" sheetId="9" r:id="rId3"/>
    <sheet name="Decision Points" sheetId="10" r:id="rId4"/>
    <sheet name="Employee Counts" sheetId="2" r:id="rId5"/>
  </sheets>
  <definedNames>
    <definedName name="BusOperator">'Position Task List'!$A$1</definedName>
    <definedName name="MechTechYard">'Position Task List'!$A$14</definedName>
    <definedName name="NumDailyPullIns">Intro!$B$10</definedName>
    <definedName name="TargetAnnnualHours">Intro!$B$9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13" i="4" l="1"/>
  <c r="K14" i="4"/>
  <c r="K15" i="4"/>
  <c r="K16" i="4"/>
  <c r="K17" i="4"/>
  <c r="K18" i="4"/>
  <c r="K19" i="4"/>
  <c r="K20" i="4"/>
  <c r="K21" i="4"/>
  <c r="K22" i="4"/>
  <c r="K23" i="4"/>
  <c r="K12" i="4"/>
  <c r="G23" i="4"/>
  <c r="G22" i="4"/>
  <c r="E23" i="4"/>
  <c r="E22" i="4"/>
  <c r="C23" i="4"/>
  <c r="C22" i="4"/>
  <c r="P18" i="9"/>
  <c r="O18" i="9"/>
  <c r="J18" i="9"/>
  <c r="L18" i="9" s="1"/>
  <c r="J25" i="9"/>
  <c r="L25" i="9" s="1"/>
  <c r="J116" i="9"/>
  <c r="J119" i="9" s="1"/>
  <c r="J107" i="9"/>
  <c r="L107" i="9" s="1"/>
  <c r="L106" i="9"/>
  <c r="M106" i="9" s="1"/>
  <c r="L108" i="9"/>
  <c r="L109" i="9"/>
  <c r="G106" i="9"/>
  <c r="F106" i="9"/>
  <c r="F107" i="9"/>
  <c r="G107" i="9" s="1"/>
  <c r="F108" i="9"/>
  <c r="F109" i="9"/>
  <c r="G109" i="9" s="1"/>
  <c r="D119" i="9"/>
  <c r="L118" i="9"/>
  <c r="F118" i="9"/>
  <c r="L117" i="9"/>
  <c r="F117" i="9"/>
  <c r="F116" i="9"/>
  <c r="L115" i="9"/>
  <c r="F115" i="9"/>
  <c r="D110" i="9"/>
  <c r="L24" i="9"/>
  <c r="L26" i="9"/>
  <c r="L27" i="9"/>
  <c r="L28" i="9"/>
  <c r="D29" i="9"/>
  <c r="F24" i="9"/>
  <c r="F25" i="9"/>
  <c r="G25" i="9" s="1"/>
  <c r="F26" i="9"/>
  <c r="G26" i="9" s="1"/>
  <c r="F27" i="9"/>
  <c r="F28" i="9"/>
  <c r="G28" i="9" s="1"/>
  <c r="J17" i="9"/>
  <c r="L17" i="9" s="1"/>
  <c r="L16" i="9"/>
  <c r="L19" i="9"/>
  <c r="D20" i="9"/>
  <c r="F16" i="9"/>
  <c r="G16" i="9" s="1"/>
  <c r="F17" i="9"/>
  <c r="F18" i="9"/>
  <c r="G18" i="9" s="1"/>
  <c r="F19" i="9"/>
  <c r="G19" i="9" s="1"/>
  <c r="J29" i="9" l="1"/>
  <c r="J110" i="9"/>
  <c r="L116" i="9"/>
  <c r="L119" i="9" s="1"/>
  <c r="M117" i="9"/>
  <c r="M118" i="9"/>
  <c r="M115" i="9"/>
  <c r="F119" i="9"/>
  <c r="H116" i="9" s="1"/>
  <c r="M109" i="9"/>
  <c r="L110" i="9"/>
  <c r="M108" i="9"/>
  <c r="G108" i="9"/>
  <c r="M107" i="9"/>
  <c r="G118" i="9"/>
  <c r="G115" i="9"/>
  <c r="G116" i="9"/>
  <c r="G117" i="9"/>
  <c r="F110" i="9"/>
  <c r="M27" i="9"/>
  <c r="L29" i="9"/>
  <c r="M24" i="9"/>
  <c r="G27" i="9"/>
  <c r="M26" i="9"/>
  <c r="M25" i="9"/>
  <c r="M28" i="9"/>
  <c r="G24" i="9"/>
  <c r="F29" i="9"/>
  <c r="C14" i="4" s="1"/>
  <c r="M16" i="9"/>
  <c r="J11" i="10" s="1"/>
  <c r="L20" i="9"/>
  <c r="M17" i="9"/>
  <c r="J12" i="10" s="1"/>
  <c r="J20" i="9"/>
  <c r="M18" i="9"/>
  <c r="M19" i="9"/>
  <c r="G17" i="9"/>
  <c r="F20" i="9"/>
  <c r="J88" i="9"/>
  <c r="L88" i="9" s="1"/>
  <c r="D88" i="9"/>
  <c r="F88" i="9" s="1"/>
  <c r="F89" i="9"/>
  <c r="G89" i="9" s="1"/>
  <c r="L89" i="9"/>
  <c r="J80" i="9"/>
  <c r="J82" i="9" s="1"/>
  <c r="D80" i="9"/>
  <c r="D82" i="9" s="1"/>
  <c r="F81" i="9"/>
  <c r="G81" i="9" s="1"/>
  <c r="L81" i="9"/>
  <c r="J74" i="9"/>
  <c r="J76" i="9" s="1"/>
  <c r="D74" i="9"/>
  <c r="F75" i="9"/>
  <c r="L75" i="9"/>
  <c r="L94" i="9"/>
  <c r="L95" i="9"/>
  <c r="L96" i="9"/>
  <c r="L97" i="9"/>
  <c r="L98" i="9"/>
  <c r="L99" i="9"/>
  <c r="F94" i="9"/>
  <c r="G94" i="9" s="1"/>
  <c r="F95" i="9"/>
  <c r="F96" i="9"/>
  <c r="G96" i="9" s="1"/>
  <c r="F97" i="9"/>
  <c r="G97" i="9" s="1"/>
  <c r="F98" i="9"/>
  <c r="G98" i="9" s="1"/>
  <c r="F99" i="9"/>
  <c r="G99" i="9" s="1"/>
  <c r="J100" i="9"/>
  <c r="D100" i="9"/>
  <c r="J56" i="9"/>
  <c r="J41" i="9"/>
  <c r="L41" i="9" s="1"/>
  <c r="F41" i="9"/>
  <c r="G41" i="9" s="1"/>
  <c r="E26" i="2"/>
  <c r="D26" i="2"/>
  <c r="C26" i="2"/>
  <c r="B26" i="2"/>
  <c r="J169" i="10"/>
  <c r="J168" i="10"/>
  <c r="J167" i="10"/>
  <c r="J166" i="10"/>
  <c r="J165" i="10"/>
  <c r="J164" i="10"/>
  <c r="J163" i="10"/>
  <c r="J162" i="10"/>
  <c r="J161" i="10"/>
  <c r="J160" i="10"/>
  <c r="J159" i="10"/>
  <c r="J158" i="10"/>
  <c r="J157" i="10"/>
  <c r="J156" i="10"/>
  <c r="J155" i="10"/>
  <c r="J154" i="10"/>
  <c r="J153" i="10"/>
  <c r="J152" i="10"/>
  <c r="J151" i="10"/>
  <c r="J150" i="10"/>
  <c r="J149" i="10"/>
  <c r="J148" i="10"/>
  <c r="J147" i="10"/>
  <c r="J146" i="10"/>
  <c r="J145" i="10"/>
  <c r="J144" i="10"/>
  <c r="J143" i="10"/>
  <c r="J142" i="10"/>
  <c r="J141" i="10"/>
  <c r="J140" i="10"/>
  <c r="J135" i="10"/>
  <c r="J134" i="10"/>
  <c r="J133" i="10"/>
  <c r="J132" i="10"/>
  <c r="J131" i="10"/>
  <c r="J130" i="10"/>
  <c r="J129" i="10"/>
  <c r="J128" i="10"/>
  <c r="J127" i="10"/>
  <c r="J126" i="10"/>
  <c r="J125" i="10"/>
  <c r="J124" i="10"/>
  <c r="J123" i="10"/>
  <c r="J122" i="10"/>
  <c r="J121" i="10"/>
  <c r="J120" i="10"/>
  <c r="J119" i="10"/>
  <c r="J118" i="10"/>
  <c r="J117" i="10"/>
  <c r="J116" i="10"/>
  <c r="J115" i="10"/>
  <c r="J114" i="10"/>
  <c r="J113" i="10"/>
  <c r="J112" i="10"/>
  <c r="J111" i="10"/>
  <c r="J110" i="10"/>
  <c r="J109" i="10"/>
  <c r="J108" i="10"/>
  <c r="J107" i="10"/>
  <c r="J106" i="10"/>
  <c r="J101" i="10"/>
  <c r="J100" i="10"/>
  <c r="J99" i="10"/>
  <c r="J98" i="10"/>
  <c r="J97" i="10"/>
  <c r="J96" i="10"/>
  <c r="J95" i="10"/>
  <c r="J94" i="10"/>
  <c r="J93" i="10"/>
  <c r="J92" i="10"/>
  <c r="J91" i="10"/>
  <c r="J90" i="10"/>
  <c r="J89" i="10"/>
  <c r="J88" i="10"/>
  <c r="J87" i="10"/>
  <c r="J86" i="10"/>
  <c r="J85" i="10"/>
  <c r="J84" i="10"/>
  <c r="J83" i="10"/>
  <c r="J82" i="10"/>
  <c r="J81" i="10"/>
  <c r="J80" i="10"/>
  <c r="J79" i="10"/>
  <c r="J78" i="10"/>
  <c r="J77" i="10"/>
  <c r="J76" i="10"/>
  <c r="J75" i="10"/>
  <c r="J74" i="10"/>
  <c r="J73" i="10"/>
  <c r="J72" i="10"/>
  <c r="J68" i="10"/>
  <c r="J67" i="10"/>
  <c r="J66" i="10"/>
  <c r="J65" i="10"/>
  <c r="J64" i="10"/>
  <c r="J63" i="10"/>
  <c r="J62" i="10"/>
  <c r="J61" i="10"/>
  <c r="J60" i="10"/>
  <c r="J59" i="10"/>
  <c r="J58" i="10"/>
  <c r="J57" i="10"/>
  <c r="J56" i="10"/>
  <c r="J55" i="10"/>
  <c r="J54" i="10"/>
  <c r="J53" i="10"/>
  <c r="J52" i="10"/>
  <c r="J51" i="10"/>
  <c r="J50" i="10"/>
  <c r="J49" i="10"/>
  <c r="J48" i="10"/>
  <c r="J47" i="10"/>
  <c r="J46" i="10"/>
  <c r="J45" i="10"/>
  <c r="J44" i="10"/>
  <c r="J43" i="10"/>
  <c r="J42" i="10"/>
  <c r="J41" i="10"/>
  <c r="J40" i="10"/>
  <c r="J39" i="10"/>
  <c r="J34" i="10"/>
  <c r="J33" i="10"/>
  <c r="J32" i="10"/>
  <c r="J31" i="10"/>
  <c r="J30" i="10"/>
  <c r="J29" i="10"/>
  <c r="E27" i="4" s="1"/>
  <c r="J28" i="10"/>
  <c r="J27" i="10"/>
  <c r="J26" i="10"/>
  <c r="J16" i="10"/>
  <c r="J15" i="10"/>
  <c r="J14" i="10"/>
  <c r="J13" i="10"/>
  <c r="J66" i="9"/>
  <c r="L66" i="9" s="1"/>
  <c r="D66" i="9"/>
  <c r="F66" i="9" s="1"/>
  <c r="J65" i="9"/>
  <c r="L65" i="9" s="1"/>
  <c r="D65" i="9"/>
  <c r="F65" i="9" s="1"/>
  <c r="J64" i="9"/>
  <c r="L64" i="9" s="1"/>
  <c r="D64" i="9"/>
  <c r="F64" i="9" s="1"/>
  <c r="G64" i="9" s="1"/>
  <c r="J63" i="9"/>
  <c r="L63" i="9" s="1"/>
  <c r="D63" i="9"/>
  <c r="F63" i="9" s="1"/>
  <c r="J62" i="9"/>
  <c r="D62" i="9"/>
  <c r="L61" i="9"/>
  <c r="F61" i="9"/>
  <c r="G61" i="9" s="1"/>
  <c r="L55" i="9"/>
  <c r="F55" i="9"/>
  <c r="G55" i="9" s="1"/>
  <c r="L54" i="9"/>
  <c r="F54" i="9"/>
  <c r="G54" i="9" s="1"/>
  <c r="K53" i="9"/>
  <c r="L53" i="9" s="1"/>
  <c r="E53" i="9"/>
  <c r="F53" i="9" s="1"/>
  <c r="G53" i="9" s="1"/>
  <c r="L52" i="9"/>
  <c r="F52" i="9"/>
  <c r="G52" i="9" s="1"/>
  <c r="L51" i="9"/>
  <c r="F51" i="9"/>
  <c r="G51" i="9" s="1"/>
  <c r="L50" i="9"/>
  <c r="F50" i="9"/>
  <c r="G50" i="9" s="1"/>
  <c r="L49" i="9"/>
  <c r="F49" i="9"/>
  <c r="L48" i="9"/>
  <c r="F48" i="9"/>
  <c r="G48" i="9" s="1"/>
  <c r="L47" i="9"/>
  <c r="F47" i="9"/>
  <c r="G47" i="9" s="1"/>
  <c r="D42" i="9"/>
  <c r="L40" i="9"/>
  <c r="F40" i="9"/>
  <c r="L39" i="9"/>
  <c r="F39" i="9"/>
  <c r="G39" i="9" s="1"/>
  <c r="L38" i="9"/>
  <c r="E38" i="9"/>
  <c r="F38" i="9" s="1"/>
  <c r="L37" i="9"/>
  <c r="F37" i="9"/>
  <c r="L36" i="9"/>
  <c r="F36" i="9"/>
  <c r="G36" i="9" s="1"/>
  <c r="L35" i="9"/>
  <c r="F35" i="9"/>
  <c r="G35" i="9" s="1"/>
  <c r="L34" i="9"/>
  <c r="F34" i="9"/>
  <c r="L33" i="9"/>
  <c r="F33" i="9"/>
  <c r="G33" i="9" s="1"/>
  <c r="J11" i="9"/>
  <c r="D11" i="9"/>
  <c r="L10" i="9"/>
  <c r="F10" i="9"/>
  <c r="L9" i="9"/>
  <c r="F9" i="9"/>
  <c r="G9" i="9" s="1"/>
  <c r="L8" i="9"/>
  <c r="F8" i="9"/>
  <c r="G8" i="9" s="1"/>
  <c r="L7" i="9"/>
  <c r="F7" i="9"/>
  <c r="G7" i="9" s="1"/>
  <c r="L6" i="9"/>
  <c r="F6" i="9"/>
  <c r="L5" i="9"/>
  <c r="F5" i="9"/>
  <c r="L4" i="9"/>
  <c r="F4" i="9"/>
  <c r="G4" i="9" s="1"/>
  <c r="L3" i="9"/>
  <c r="F3" i="9"/>
  <c r="E35" i="4"/>
  <c r="F35" i="4" s="1"/>
  <c r="A35" i="4"/>
  <c r="E34" i="4"/>
  <c r="F34" i="4" s="1"/>
  <c r="A34" i="4"/>
  <c r="E33" i="4"/>
  <c r="A33" i="4"/>
  <c r="E32" i="4"/>
  <c r="A32" i="4"/>
  <c r="E31" i="4"/>
  <c r="D7" i="4"/>
  <c r="D6" i="4"/>
  <c r="D4" i="4"/>
  <c r="D9" i="4" s="1"/>
  <c r="C27" i="4" l="1"/>
  <c r="G13" i="4"/>
  <c r="E13" i="4"/>
  <c r="G29" i="9"/>
  <c r="G14" i="4"/>
  <c r="E14" i="4"/>
  <c r="H16" i="9"/>
  <c r="C13" i="4"/>
  <c r="M116" i="9"/>
  <c r="H117" i="9"/>
  <c r="H118" i="9"/>
  <c r="H115" i="9"/>
  <c r="G119" i="9"/>
  <c r="M119" i="9"/>
  <c r="M110" i="9"/>
  <c r="H107" i="9"/>
  <c r="H109" i="9"/>
  <c r="H106" i="9"/>
  <c r="H108" i="9"/>
  <c r="G110" i="9"/>
  <c r="F31" i="4"/>
  <c r="D40" i="4" s="1"/>
  <c r="E42" i="4" s="1"/>
  <c r="F32" i="4"/>
  <c r="F33" i="4"/>
  <c r="M29" i="9"/>
  <c r="H27" i="9"/>
  <c r="H28" i="9"/>
  <c r="H26" i="9"/>
  <c r="H24" i="9"/>
  <c r="H25" i="9"/>
  <c r="D90" i="9"/>
  <c r="G20" i="9"/>
  <c r="M20" i="9"/>
  <c r="H17" i="9"/>
  <c r="H18" i="9"/>
  <c r="H19" i="9"/>
  <c r="J90" i="9"/>
  <c r="F80" i="9"/>
  <c r="G80" i="9" s="1"/>
  <c r="G82" i="9" s="1"/>
  <c r="L80" i="9"/>
  <c r="L82" i="9" s="1"/>
  <c r="E19" i="4" s="1"/>
  <c r="F90" i="9"/>
  <c r="H89" i="9" s="1"/>
  <c r="M97" i="9"/>
  <c r="M96" i="9"/>
  <c r="M89" i="9"/>
  <c r="L90" i="9"/>
  <c r="M81" i="9"/>
  <c r="M99" i="9"/>
  <c r="M98" i="9"/>
  <c r="M94" i="9"/>
  <c r="L74" i="9"/>
  <c r="L76" i="9" s="1"/>
  <c r="M75" i="9"/>
  <c r="G75" i="9"/>
  <c r="D76" i="9"/>
  <c r="G95" i="9"/>
  <c r="G100" i="9" s="1"/>
  <c r="L100" i="9"/>
  <c r="M88" i="9"/>
  <c r="F100" i="9"/>
  <c r="C21" i="4" s="1"/>
  <c r="M95" i="9"/>
  <c r="F74" i="9"/>
  <c r="G88" i="9"/>
  <c r="G90" i="9" s="1"/>
  <c r="M36" i="9"/>
  <c r="J20" i="10" s="1"/>
  <c r="M50" i="9"/>
  <c r="M66" i="9"/>
  <c r="M55" i="9"/>
  <c r="M47" i="9"/>
  <c r="M8" i="9"/>
  <c r="J8" i="10" s="1"/>
  <c r="G35" i="4"/>
  <c r="H35" i="4" s="1"/>
  <c r="I35" i="4" s="1"/>
  <c r="M3" i="9"/>
  <c r="J5" i="10" s="1"/>
  <c r="M61" i="9"/>
  <c r="L56" i="9"/>
  <c r="E16" i="4" s="1"/>
  <c r="D67" i="9"/>
  <c r="J67" i="9"/>
  <c r="M7" i="9"/>
  <c r="M52" i="9"/>
  <c r="J23" i="10" s="1"/>
  <c r="M4" i="9"/>
  <c r="M38" i="9"/>
  <c r="M5" i="9"/>
  <c r="J6" i="10" s="1"/>
  <c r="M34" i="9"/>
  <c r="J18" i="10" s="1"/>
  <c r="M51" i="9"/>
  <c r="M64" i="9"/>
  <c r="J42" i="9"/>
  <c r="L42" i="9"/>
  <c r="E15" i="4" s="1"/>
  <c r="M41" i="9"/>
  <c r="M35" i="9"/>
  <c r="J19" i="10" s="1"/>
  <c r="F62" i="9"/>
  <c r="F67" i="9" s="1"/>
  <c r="M53" i="9"/>
  <c r="J24" i="10" s="1"/>
  <c r="M48" i="9"/>
  <c r="M37" i="9"/>
  <c r="J21" i="10" s="1"/>
  <c r="M49" i="9"/>
  <c r="G49" i="9"/>
  <c r="M39" i="9"/>
  <c r="J22" i="10" s="1"/>
  <c r="M10" i="9"/>
  <c r="J10" i="10" s="1"/>
  <c r="G34" i="9"/>
  <c r="M40" i="9"/>
  <c r="M33" i="9"/>
  <c r="J17" i="10" s="1"/>
  <c r="M6" i="9"/>
  <c r="J7" i="10" s="1"/>
  <c r="M63" i="9"/>
  <c r="G65" i="9"/>
  <c r="G63" i="9"/>
  <c r="M65" i="9"/>
  <c r="L62" i="9"/>
  <c r="F11" i="9"/>
  <c r="G5" i="9"/>
  <c r="M54" i="9"/>
  <c r="J25" i="10" s="1"/>
  <c r="L11" i="9"/>
  <c r="G6" i="9"/>
  <c r="G3" i="9"/>
  <c r="G37" i="9"/>
  <c r="G40" i="9"/>
  <c r="M9" i="9"/>
  <c r="J9" i="10" s="1"/>
  <c r="G10" i="9"/>
  <c r="F42" i="9"/>
  <c r="G38" i="9"/>
  <c r="G66" i="9"/>
  <c r="F56" i="9"/>
  <c r="C16" i="4" l="1"/>
  <c r="H29" i="9"/>
  <c r="M80" i="9"/>
  <c r="F82" i="9"/>
  <c r="H81" i="9" s="1"/>
  <c r="M100" i="9"/>
  <c r="E12" i="4"/>
  <c r="M11" i="9"/>
  <c r="G21" i="4"/>
  <c r="E21" i="4"/>
  <c r="G20" i="4"/>
  <c r="E20" i="4"/>
  <c r="H88" i="9"/>
  <c r="C20" i="4"/>
  <c r="H7" i="9"/>
  <c r="C12" i="4"/>
  <c r="H66" i="9"/>
  <c r="C17" i="4"/>
  <c r="H40" i="9"/>
  <c r="C15" i="4"/>
  <c r="E18" i="4"/>
  <c r="H97" i="9"/>
  <c r="H94" i="9"/>
  <c r="H95" i="9"/>
  <c r="H96" i="9"/>
  <c r="H98" i="9"/>
  <c r="H99" i="9"/>
  <c r="G56" i="9"/>
  <c r="F76" i="9"/>
  <c r="C18" i="4" s="1"/>
  <c r="M74" i="9"/>
  <c r="G74" i="9"/>
  <c r="G76" i="9" s="1"/>
  <c r="G62" i="9"/>
  <c r="G67" i="9" s="1"/>
  <c r="G32" i="4"/>
  <c r="H32" i="4" s="1"/>
  <c r="I32" i="4" s="1"/>
  <c r="G16" i="4"/>
  <c r="H41" i="9"/>
  <c r="H5" i="9"/>
  <c r="G42" i="9"/>
  <c r="H4" i="9"/>
  <c r="G12" i="4"/>
  <c r="C26" i="4"/>
  <c r="E26" i="4"/>
  <c r="H61" i="9"/>
  <c r="H64" i="9"/>
  <c r="L67" i="9"/>
  <c r="M62" i="9"/>
  <c r="H63" i="9"/>
  <c r="H8" i="9"/>
  <c r="H35" i="9"/>
  <c r="H36" i="9"/>
  <c r="H34" i="9"/>
  <c r="H39" i="9"/>
  <c r="H33" i="9"/>
  <c r="G15" i="4"/>
  <c r="H65" i="9"/>
  <c r="H10" i="9"/>
  <c r="H38" i="9"/>
  <c r="G11" i="9"/>
  <c r="H6" i="9"/>
  <c r="H3" i="9"/>
  <c r="H9" i="9"/>
  <c r="H62" i="9"/>
  <c r="H37" i="9"/>
  <c r="H47" i="9"/>
  <c r="H51" i="9"/>
  <c r="H54" i="9"/>
  <c r="H50" i="9"/>
  <c r="H53" i="9"/>
  <c r="H52" i="9"/>
  <c r="H49" i="9"/>
  <c r="H55" i="9"/>
  <c r="H48" i="9"/>
  <c r="G19" i="4" l="1"/>
  <c r="C19" i="4"/>
  <c r="H80" i="9"/>
  <c r="G18" i="4"/>
  <c r="E17" i="4"/>
  <c r="G17" i="4"/>
  <c r="H74" i="9"/>
  <c r="H75" i="9"/>
  <c r="G34" i="4"/>
  <c r="H34" i="4" s="1"/>
  <c r="I34" i="4" s="1"/>
  <c r="G33" i="4" l="1"/>
  <c r="H33" i="4" s="1"/>
  <c r="I33" i="4" s="1"/>
  <c r="G31" i="4"/>
  <c r="H31" i="4" s="1"/>
  <c r="I31" i="4"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tc={74DE8A0F-152B-415C-A10B-51A17F070472}</author>
    <author>tc={B5DC3A6A-BE19-4157-B232-5088521261FD}</author>
    <author>tc={086A6DD6-93DA-43D6-BE06-7F09FBA6DF15}</author>
    <author>tc={1F83BA5C-69EF-4986-A95B-D3C833E0CDE4}</author>
    <author>tc={59B003E1-6372-499E-97AF-2758B4AB0A42}</author>
    <author>tc={2DDCCA6F-740F-4D25-AB03-058E85C532C0}</author>
    <author>tc={AF12D8C0-3644-4CAE-B409-ABBE6D2699BC}</author>
    <author>tc={1C79D3F0-4458-477E-8085-524FE583A030}</author>
    <author>tc={F218E152-6248-4711-B163-A086D3B1CEBE}</author>
    <author>tc={929F7BB2-3E94-4835-A09D-DF8DF0540202}</author>
    <author>tc={90822355-0BD3-485C-8B12-2C0DCC99E0B5}</author>
    <author>tc={33300AD3-BB10-4B46-BC95-28AF49DB6548}</author>
    <author>tc={CAE57780-969A-40EF-A88C-B4A8E26FC013}</author>
    <author>tc={F060C502-2D3D-43C0-8642-3FDC782AE02B}</author>
    <author>tc={B6E15C4A-7EE7-4FD9-8801-ECE0BE34CE7F}</author>
    <author>tc={7E1F748C-8DF4-4FA6-AADF-4CD7F11C8388}</author>
    <author>tc={D2F13396-F335-4286-842C-7F7A8E61F35D}</author>
    <author>tc={D98E6F86-28E1-4EBB-8CF2-4EBD210036DE}</author>
    <author>tc={A2AAF5CC-6DC6-4C7B-8B36-43A87C340203}</author>
    <author>tc={E9ABA7F1-D79E-4B68-BECF-116ECA4145B9}</author>
    <author>tc={C664C3FF-901B-46C9-9D72-E54EF7A0B901}</author>
    <author>tc={E60106D5-8FDA-49C9-845B-EBB4BEC64AE5}</author>
  </authors>
  <commentList>
    <comment ref="D8" authorId="0" shapeId="0" xr:uid="{74DE8A0F-152B-415C-A10B-51A17F070472}">
      <text>
        <t>[Threaded comment]
Your version of Excel allows you to read this threaded comment; however, any edits to it will get removed if the file is opened in a newer version of Excel. Learn more: https://go.microsoft.com/fwlink/?linkid=870924
Comment:
    Is the number of minutes needed to total to 8 hours after accounting for all other operator tasks</t>
      </text>
    </comment>
    <comment ref="J8" authorId="1" shapeId="0" xr:uid="{B5DC3A6A-BE19-4157-B232-5088521261FD}">
      <text>
        <t>[Threaded comment]
Your version of Excel allows you to read this threaded comment; however, any edits to it will get removed if the file is opened in a newer version of Excel. Learn more: https://go.microsoft.com/fwlink/?linkid=870924
Comment:
    Assumes the 7 minute time savings from viewing the yard map, walking to the bus in the yard, and driving from yard to gate is re-invested into operating the bus for service.</t>
      </text>
    </comment>
    <comment ref="J17" authorId="2" shapeId="0" xr:uid="{086A6DD6-93DA-43D6-BE06-7F09FBA6DF15}">
      <text>
        <t>[Threaded comment]
Your version of Excel allows you to read this threaded comment; however, any edits to it will get removed if the file is opened in a newer version of Excel. Learn more: https://go.microsoft.com/fwlink/?linkid=870924
Comment:
    Assumes a 10% increase in work-load demands due to complexities of yard automation / trouble-shooting systems, etc.</t>
      </text>
    </comment>
    <comment ref="D18" authorId="3" shapeId="0" xr:uid="{1F83BA5C-69EF-4986-A95B-D3C833E0CDE4}">
      <text>
        <t>[Threaded comment]
Your version of Excel allows you to read this threaded comment; however, any edits to it will get removed if the file is opened in a newer version of Excel. Learn more: https://go.microsoft.com/fwlink/?linkid=870924
Comment:
    Number of minutes needed after accounting for all other duties</t>
      </text>
    </comment>
    <comment ref="J18" authorId="4" shapeId="0" xr:uid="{59B003E1-6372-499E-97AF-2758B4AB0A42}">
      <text>
        <t>[Threaded comment]
Your version of Excel allows you to read this threaded comment; however, any edits to it will get removed if the file is opened in a newer version of Excel. Learn more: https://go.microsoft.com/fwlink/?linkid=870924
Comment:
    Assumes a 10% increase in work-load demands due to complexities of yard automation / trouble-shooting systems, etc.</t>
      </text>
    </comment>
    <comment ref="D25" authorId="5" shapeId="0" xr:uid="{2DDCCA6F-740F-4D25-AB03-058E85C532C0}">
      <text>
        <t>[Threaded comment]
Your version of Excel allows you to read this threaded comment; however, any edits to it will get removed if the file is opened in a newer version of Excel. Learn more: https://go.microsoft.com/fwlink/?linkid=870924
Comment:
    Minutes needed after accounting for all other tasks</t>
      </text>
    </comment>
    <comment ref="J25" authorId="6" shapeId="0" xr:uid="{AF12D8C0-3644-4CAE-B409-ABBE6D2699BC}">
      <text>
        <t>[Threaded comment]
Your version of Excel allows you to read this threaded comment; however, any edits to it will get removed if the file is opened in a newer version of Excel. Learn more: https://go.microsoft.com/fwlink/?linkid=870924
Comment:
    Assumes a 25% increase in maintenance work load for ET shop personnel</t>
      </text>
    </comment>
    <comment ref="J26" authorId="7" shapeId="0" xr:uid="{1C79D3F0-4458-477E-8085-524FE583A030}">
      <text>
        <t>[Threaded comment]
Your version of Excel allows you to read this threaded comment; however, any edits to it will get removed if the file is opened in a newer version of Excel. Learn more: https://go.microsoft.com/fwlink/?linkid=870924
Comment:
    Assumes half of time, buses will still be capable of yard automation</t>
      </text>
    </comment>
    <comment ref="J27" authorId="8" shapeId="0" xr:uid="{F218E152-6248-4711-B163-A086D3B1CEBE}">
      <text>
        <t>[Threaded comment]
Your version of Excel allows you to read this threaded comment; however, any edits to it will get removed if the file is opened in a newer version of Excel. Learn more: https://go.microsoft.com/fwlink/?linkid=870924
Comment:
    Assumes that, after repairs, buses will be able to self-park</t>
      </text>
    </comment>
    <comment ref="J37" authorId="9" shapeId="0" xr:uid="{929F7BB2-3E94-4835-A09D-DF8DF0540202}">
      <text>
        <t>[Threaded comment]
Your version of Excel allows you to read this threaded comment; however, any edits to it will get removed if the file is opened in a newer version of Excel. Learn more: https://go.microsoft.com/fwlink/?linkid=870924
Comment:
    Work mainly taken by YMS and yard hostler</t>
      </text>
    </comment>
    <comment ref="J38" authorId="10" shapeId="0" xr:uid="{90822355-0BD3-485C-8B12-2C0DCC99E0B5}">
      <text>
        <t>[Threaded comment]
Your version of Excel allows you to read this threaded comment; however, any edits to it will get removed if the file is opened in a newer version of Excel. Learn more: https://go.microsoft.com/fwlink/?linkid=870924
Comment:
    Yard Hostler / Supervisor mainly performs task</t>
      </text>
    </comment>
    <comment ref="D40" authorId="11" shapeId="0" xr:uid="{33300AD3-BB10-4B46-BC95-28AF49DB6548}">
      <text>
        <t>[Threaded comment]
Your version of Excel allows you to read this threaded comment; however, any edits to it will get removed if the file is opened in a newer version of Excel. Learn more: https://go.microsoft.com/fwlink/?linkid=870924
Comment:
    This is a plug number to fill in the gap in the annual work hours for a Service Writer day shift.</t>
      </text>
    </comment>
    <comment ref="J40" authorId="12" shapeId="0" xr:uid="{CAE57780-969A-40EF-A88C-B4A8E26FC013}">
      <text>
        <t>[Threaded comment]
Your version of Excel allows you to read this threaded comment; however, any edits to it will get removed if the file is opened in a newer version of Excel. Learn more: https://go.microsoft.com/fwlink/?linkid=870924
Comment:
    This is a plug number to fill in the gap in the annual work hours for a Service Writer day shift.</t>
      </text>
    </comment>
    <comment ref="J41" authorId="13" shapeId="0" xr:uid="{F060C502-2D3D-43C0-8642-3FDC782AE02B}">
      <text>
        <t>[Threaded comment]
Your version of Excel allows you to read this threaded comment; however, any edits to it will get removed if the file is opened in a newer version of Excel. Learn more: https://go.microsoft.com/fwlink/?linkid=870924
Comment:
    Assumes 2 minutes per bus, doing half of the pull-ins</t>
      </text>
    </comment>
    <comment ref="D74" authorId="14" shapeId="0" xr:uid="{B6E15C4A-7EE7-4FD9-8801-ECE0BE34CE7F}">
      <text>
        <t>[Threaded comment]
Your version of Excel allows you to read this threaded comment; however, any edits to it will get removed if the file is opened in a newer version of Excel. Learn more: https://go.microsoft.com/fwlink/?linkid=870924
Comment:
    The whole day doing nothing else</t>
      </text>
    </comment>
    <comment ref="D80" authorId="15" shapeId="0" xr:uid="{7E1F748C-8DF4-4FA6-AADF-4CD7F11C8388}">
      <text>
        <t>[Threaded comment]
Your version of Excel allows you to read this threaded comment; however, any edits to it will get removed if the file is opened in a newer version of Excel. Learn more: https://go.microsoft.com/fwlink/?linkid=870924
Comment:
    The whole day doing nothing else</t>
      </text>
    </comment>
    <comment ref="J80" authorId="16" shapeId="0" xr:uid="{D2F13396-F335-4286-842C-7F7A8E61F35D}">
      <text>
        <t>[Threaded comment]
Your version of Excel allows you to read this threaded comment; however, any edits to it will get removed if the file is opened in a newer version of Excel. Learn more: https://go.microsoft.com/fwlink/?linkid=870924
Comment:
    The whole day doing nothing else</t>
      </text>
    </comment>
    <comment ref="D88" authorId="17" shapeId="0" xr:uid="{D98E6F86-28E1-4EBB-8CF2-4EBD210036DE}">
      <text>
        <t>[Threaded comment]
Your version of Excel allows you to read this threaded comment; however, any edits to it will get removed if the file is opened in a newer version of Excel. Learn more: https://go.microsoft.com/fwlink/?linkid=870924
Comment:
    The whole day doing nothing else</t>
      </text>
    </comment>
    <comment ref="J88" authorId="18" shapeId="0" xr:uid="{A2AAF5CC-6DC6-4C7B-8B36-43A87C340203}">
      <text>
        <t>[Threaded comment]
Your version of Excel allows you to read this threaded comment; however, any edits to it will get removed if the file is opened in a newer version of Excel. Learn more: https://go.microsoft.com/fwlink/?linkid=870924
Comment:
    The whole day doing nothing else</t>
      </text>
    </comment>
    <comment ref="D94" authorId="19" shapeId="0" xr:uid="{E9ABA7F1-D79E-4B68-BECF-116ECA4145B9}">
      <text>
        <t>[Threaded comment]
Your version of Excel allows you to read this threaded comment; however, any edits to it will get removed if the file is opened in a newer version of Excel. Learn more: https://go.microsoft.com/fwlink/?linkid=870924
Comment:
    Treated all tasks as having equal labor hours requirements… (works given all tasks equally automated by use case)</t>
      </text>
    </comment>
    <comment ref="J107" authorId="20" shapeId="0" xr:uid="{C664C3FF-901B-46C9-9D72-E54EF7A0B901}">
      <text>
        <t>[Threaded comment]
Your version of Excel allows you to read this threaded comment; however, any edits to it will get removed if the file is opened in a newer version of Excel. Learn more: https://go.microsoft.com/fwlink/?linkid=870924
Comment:
    Assumes 2 minutes per bus; doing about half of the pull-ins (b/c of shift)</t>
      </text>
    </comment>
    <comment ref="J116" authorId="21" shapeId="0" xr:uid="{E60106D5-8FDA-49C9-845B-EBB4BEC64AE5}">
      <text>
        <t>[Threaded comment]
Your version of Excel allows you to read this threaded comment; however, any edits to it will get removed if the file is opened in a newer version of Excel. Learn more: https://go.microsoft.com/fwlink/?linkid=870924
Comment:
    Assumes 2 minutes per bus; doing about half of the pull-ins (b/c of shift)</t>
      </text>
    </comment>
  </commentList>
</comments>
</file>

<file path=xl/sharedStrings.xml><?xml version="1.0" encoding="utf-8"?>
<sst xmlns="http://schemas.openxmlformats.org/spreadsheetml/2006/main" count="1062" uniqueCount="533">
  <si>
    <t>Title:</t>
  </si>
  <si>
    <t>In Person Operations - Full Implementation</t>
  </si>
  <si>
    <t>Revenue Service Operational Model:</t>
  </si>
  <si>
    <t>In Person</t>
  </si>
  <si>
    <t>Use Case Implementation Model:</t>
  </si>
  <si>
    <t>Full</t>
  </si>
  <si>
    <t>Notes:</t>
  </si>
  <si>
    <t>Excludes task trade of pre- and post-trip inspections (only applies to remote operations).</t>
  </si>
  <si>
    <t>Parameters</t>
  </si>
  <si>
    <t>Target Annual Hours Baseline</t>
  </si>
  <si>
    <t>Number Weekday Pull-Ins (North Ops)</t>
  </si>
  <si>
    <t>based on Jan. 2024 schedule, which is actually 129</t>
  </si>
  <si>
    <t>Bus Yard Automation</t>
  </si>
  <si>
    <t>Select Agency Type</t>
  </si>
  <si>
    <t>Large Urban</t>
  </si>
  <si>
    <t>Application</t>
  </si>
  <si>
    <t xml:space="preserve">Implementation </t>
  </si>
  <si>
    <t>*Yard Implementation</t>
  </si>
  <si>
    <t>Agencies Impacted</t>
  </si>
  <si>
    <t>Task Impacts</t>
  </si>
  <si>
    <t>Current Annual Hours</t>
  </si>
  <si>
    <t>Scenario Annual Hours</t>
  </si>
  <si>
    <t>% Change Labor Hours</t>
  </si>
  <si>
    <t xml:space="preserve">Bus Operator </t>
  </si>
  <si>
    <t>Bus Mechanic: Yard Operations Support</t>
  </si>
  <si>
    <t>Bus Mechanic: Electronics Shop</t>
  </si>
  <si>
    <t>Service Writer: Day</t>
  </si>
  <si>
    <t>Service Writer: Night</t>
  </si>
  <si>
    <t>Service Island Attendant: Probe Shack</t>
  </si>
  <si>
    <t>Service Island Attendant: Fuels / Oil</t>
  </si>
  <si>
    <t>Service Island Attendant: Sweeping / Mopping</t>
  </si>
  <si>
    <t>Service Island Attendant: Windows / Dashes</t>
  </si>
  <si>
    <t>Service Island Attendant: Puller / Parker</t>
  </si>
  <si>
    <t>Yard Supervisor</t>
  </si>
  <si>
    <t>Yard Hostler</t>
  </si>
  <si>
    <t>Dispatcher/Controller</t>
  </si>
  <si>
    <t>Road/Street Supervisor</t>
  </si>
  <si>
    <t>Position Impacts</t>
  </si>
  <si>
    <t>Row</t>
  </si>
  <si>
    <t>Total</t>
  </si>
  <si>
    <t>Current Employees</t>
  </si>
  <si>
    <t>Current Employees Impacted</t>
  </si>
  <si>
    <t>Job Gain (Loss)</t>
  </si>
  <si>
    <t>Net Affected</t>
  </si>
  <si>
    <t>Bus Mechanic</t>
  </si>
  <si>
    <t>Bus Service Person</t>
  </si>
  <si>
    <t>Task Switch Impacts</t>
  </si>
  <si>
    <t>Task: Pre- and Post-Trip Inspections</t>
  </si>
  <si>
    <t>Task Hours</t>
  </si>
  <si>
    <t>Expanded Hrs</t>
  </si>
  <si>
    <t>Task FTE</t>
  </si>
  <si>
    <t>From</t>
  </si>
  <si>
    <t>To</t>
  </si>
  <si>
    <r>
      <t xml:space="preserve">Position: Bus Operator (Position Code </t>
    </r>
    <r>
      <rPr>
        <b/>
        <i/>
        <sz val="14"/>
        <color theme="1"/>
        <rFont val="Calibri"/>
        <family val="2"/>
        <scheme val="minor"/>
      </rPr>
      <t>Op</t>
    </r>
    <r>
      <rPr>
        <b/>
        <sz val="14"/>
        <color theme="1"/>
        <rFont val="Calibri"/>
        <family val="2"/>
        <scheme val="minor"/>
      </rPr>
      <t>)</t>
    </r>
  </si>
  <si>
    <t>Use Case 1a: 100% BEB</t>
  </si>
  <si>
    <t>Task ID</t>
  </si>
  <si>
    <t>Title</t>
  </si>
  <si>
    <t>Task Description</t>
  </si>
  <si>
    <t xml:space="preserve">Level of Effort (Minutes) </t>
  </si>
  <si>
    <t>Frequency (Days in a Year)</t>
  </si>
  <si>
    <t>Effective Annual Hours</t>
  </si>
  <si>
    <t>Effective Daily Hours</t>
  </si>
  <si>
    <t>% of Annual Hours</t>
  </si>
  <si>
    <t>Automatable By Use Case(s)?</t>
  </si>
  <si>
    <t>1a: Level of Effort (Minutes)</t>
  </si>
  <si>
    <t>1a: Frequency (Days in a Year)</t>
  </si>
  <si>
    <t>1a: Effective Annual Hours</t>
  </si>
  <si>
    <t>1a: % Impact</t>
  </si>
  <si>
    <t>Font Color Dictionary</t>
  </si>
  <si>
    <t>Op.1</t>
  </si>
  <si>
    <t>Signing in, getting daily work assignment</t>
  </si>
  <si>
    <t>Arrive at the dispatch window, sign in using ID, and get daily assignment ticket (including vehicle assignment).</t>
  </si>
  <si>
    <t xml:space="preserve">Blue </t>
  </si>
  <si>
    <t>Added from App A to complete/revise the info</t>
  </si>
  <si>
    <t>Op.2</t>
  </si>
  <si>
    <t>Viewing the yard map</t>
  </si>
  <si>
    <t>Locate assigned bus in the yard by viewing the yard map located in dispatch area.</t>
  </si>
  <si>
    <t>1a</t>
  </si>
  <si>
    <t>Op.3</t>
  </si>
  <si>
    <t>Walking to bus in yard</t>
  </si>
  <si>
    <t>Leave the dispatch area and walk to assigned bus</t>
  </si>
  <si>
    <t xml:space="preserve">Orange </t>
  </si>
  <si>
    <t>Added to update the info</t>
  </si>
  <si>
    <t>Op.4</t>
  </si>
  <si>
    <t xml:space="preserve">Conducting pre-trip inspection </t>
  </si>
  <si>
    <t>Conduct inspection of the bus before operation, including checking safety-sensitive items like lights, mirrors, and tire pressure as well as other checks (e.g., interior cleanliness and exterior condition).</t>
  </si>
  <si>
    <t>Gray</t>
  </si>
  <si>
    <t xml:space="preserve">Deleted to finalize the info </t>
  </si>
  <si>
    <t>Op.5</t>
  </si>
  <si>
    <t>Driving bus from parking spot to gate</t>
  </si>
  <si>
    <t>At pull-out, operate the bus from the parking spot to the yard gate.</t>
  </si>
  <si>
    <t>Op.6</t>
  </si>
  <si>
    <t>Operating the bus for service</t>
  </si>
  <si>
    <t>• Operate the bus from the yard to the first revenue point.
• Operate the bus in revenue service, including safe driving, collecting fares, responding to issues, and providing customer service while maintaining punctuality.
• Operate the bus from the last revenue point to the yard.</t>
  </si>
  <si>
    <t xml:space="preserve">Black </t>
  </si>
  <si>
    <t>Not changed info</t>
  </si>
  <si>
    <t>Op.7</t>
  </si>
  <si>
    <t>Parking the bus in the yard</t>
  </si>
  <si>
    <t>Operate the bus once back to the yard, including waiting in the probing queue, probing, and parking in the service lane.</t>
  </si>
  <si>
    <t>Op.8</t>
  </si>
  <si>
    <t xml:space="preserve">Conducting post-trip inspection </t>
  </si>
  <si>
    <t>Conduct inspection after completing revenue service. Post-trip inspections are performed in the service lane and include checking for damage and mechanical issues and ensuring no passengers remain on-board.</t>
  </si>
  <si>
    <r>
      <t xml:space="preserve">Position: Bus Mechanic / Technician w/ Yard Duties (Position Code: </t>
    </r>
    <r>
      <rPr>
        <b/>
        <i/>
        <sz val="14"/>
        <color theme="1"/>
        <rFont val="Calibri"/>
        <family val="2"/>
        <scheme val="minor"/>
      </rPr>
      <t>Mech Yard</t>
    </r>
    <r>
      <rPr>
        <b/>
        <sz val="14"/>
        <color theme="1"/>
        <rFont val="Calibri"/>
        <family val="2"/>
        <scheme val="minor"/>
      </rPr>
      <t>)</t>
    </r>
  </si>
  <si>
    <t>Mech.1</t>
  </si>
  <si>
    <t xml:space="preserve">Attending safety meeting / shift meeting </t>
  </si>
  <si>
    <t>Attend meeting with Shop Supervisor and other Mechanics / Technicians to discuss safety updates, daily assignments, and any other issues for the day.</t>
  </si>
  <si>
    <t>Mech.2</t>
  </si>
  <si>
    <t>Supporting pull-out / yard maintenance / charging needs</t>
  </si>
  <si>
    <t>• Sit or stand near pull-out maintenance queue adjacent to maintenance bays and waiting for buses to approach.
• Communicate with operators to help troubleshoot and/or correct issue.
• Communicate with other staff, if needed, to arrange for swap outs or to communicate other operational impacts.
• Service Truck staff use a golf-cart or even pick-up truck to respond to mechanical issues in the yard when buses cannot move or have other issues.
• Service Truck staff verify that charging is working overnight.
• SCENARIO: Service Truck staff also respond to issues with BEB charging.</t>
  </si>
  <si>
    <t>Mech.3</t>
  </si>
  <si>
    <t>Performing general maintenance work as assigned by shop</t>
  </si>
  <si>
    <t>• Perform general maintenance tasks including both corrective and preventive maintenance as assigned by Shop Supervisor.
• Perform maintenance, order and install parts, and document work in EAM.</t>
  </si>
  <si>
    <t>Mech.4</t>
  </si>
  <si>
    <t>Cleaning up work area</t>
  </si>
  <si>
    <t>At end of shift, put away tools and cleanup work area.</t>
  </si>
  <si>
    <r>
      <t xml:space="preserve">Position: Bus Mechanic / Technician in Electronics Shop (Position Code: </t>
    </r>
    <r>
      <rPr>
        <b/>
        <i/>
        <sz val="14"/>
        <color theme="1"/>
        <rFont val="Calibri"/>
        <family val="2"/>
        <scheme val="minor"/>
      </rPr>
      <t>Mech Elec</t>
    </r>
    <r>
      <rPr>
        <b/>
        <sz val="14"/>
        <color theme="1"/>
        <rFont val="Calibri"/>
        <family val="2"/>
        <scheme val="minor"/>
      </rPr>
      <t>)</t>
    </r>
  </si>
  <si>
    <t>Mech Elec.1</t>
  </si>
  <si>
    <t>Mech Elec.2</t>
  </si>
  <si>
    <t>Performing electronics shops maintenance work as assigned by shop</t>
  </si>
  <si>
    <t>Perform electronics shop maintenance tasks including both corrective and preventive maintenance as assigned by Shop Supervisor.
Perform maintenance, order and install parts, and document work in EAM.
Perform yard / road tests to ensure successful completion of repairs.</t>
  </si>
  <si>
    <t>Mech Elec.3</t>
  </si>
  <si>
    <t>Moving a bus from parking to a maintenance bay</t>
  </si>
  <si>
    <t>When a bus is needed for maintenance, a Mechanic / Technician will walk to the bus in the yard and drive the bus to the desired maintenance bay.</t>
  </si>
  <si>
    <t>Mech Elec.4</t>
  </si>
  <si>
    <t>Parking a bus after service is complete</t>
  </si>
  <si>
    <t>After a bus has been serviced, road tested (if applicable), and deemed ready for revenue service, a Mechanic / Technician will drive the bus and park it in the service lane (so it will be serviced).</t>
  </si>
  <si>
    <t>Mech Elec.5</t>
  </si>
  <si>
    <r>
      <t xml:space="preserve">Position: Service Writer - Day Shift (Position Code: </t>
    </r>
    <r>
      <rPr>
        <b/>
        <i/>
        <sz val="14"/>
        <color theme="1"/>
        <rFont val="Calibri"/>
        <family val="2"/>
        <scheme val="minor"/>
      </rPr>
      <t>Svc W Day</t>
    </r>
    <r>
      <rPr>
        <b/>
        <sz val="14"/>
        <color theme="1"/>
        <rFont val="Calibri"/>
        <family val="2"/>
        <scheme val="minor"/>
      </rPr>
      <t>)</t>
    </r>
  </si>
  <si>
    <t>Svc W Day.1</t>
  </si>
  <si>
    <t>Walking the yard</t>
  </si>
  <si>
    <t>Walk the bus yard to note the location of each bus.</t>
  </si>
  <si>
    <t>Svc W Day.2</t>
  </si>
  <si>
    <t xml:space="preserve">Developing the yard map </t>
  </si>
  <si>
    <t>• Fill in a template yard map with bus numbers to show the location of each bus.
• Distribute copies of yard map to dispatch, maintenance, and operations.</t>
  </si>
  <si>
    <t>Svc W Day.3</t>
  </si>
  <si>
    <t>Assigning buses to blocks for next pull-out</t>
  </si>
  <si>
    <t>Review multiple sources of data to assign buses to blocks for the pull-out. Sources of data and considerations include:
•	Yard map (i.e., physical location of buses).
•	Trapeze Ops to see the schedule for blocks to pull out, the priority for each block, and the valid vehicle types for each block.
•	ChargePoint to determine the battery charge status of BEBs.
•	Out-of-service list in EAM to see which buses are down or are due for a PM.
Input bus-to-block assignments in Trapeze Ops.</t>
  </si>
  <si>
    <t>Svc W Day.4</t>
  </si>
  <si>
    <t>Pre-conditioning and pre-heating buses</t>
  </si>
  <si>
    <t>Start buses during extreme weather conditions to make sure there are no issues with the engine or heating/cooling system and to warm up or cool down the interior of the bus.
Cold weather starts are required when temperature reaches 38° F or colder. Hot weather starts for the p.m. pull-out are optional.</t>
  </si>
  <si>
    <t>Svc W Day.5</t>
  </si>
  <si>
    <t>Assisting with mechanical issues and swap-outs during pull-out</t>
  </si>
  <si>
    <t>Work with Bus Operators, Maintenance Supervisors, Mechanics / Technicians (in the yard), Road Supervisors (in the yard), Bus Service Inspectors (in the yard), and OCC Controllers to facilitate successful pull-out, including responding to possible mechanical issues in the yard and facilitating bus swap-outs.
Performing a swap-out requires the Service Writer to identify an alternate bus for the block, communicate that alternate bus and its location to staff, and update Trapeze Ops with the bus change.</t>
  </si>
  <si>
    <t>Svc W Day.6</t>
  </si>
  <si>
    <t>Rearranging buses for pull-out to avoid immobile buses</t>
  </si>
  <si>
    <t>When a bus assigned to a pulling out block is immobile, assist with assigning block to a different bus and potentially help rearrange other buses that may be blocked in by immobile bus.</t>
  </si>
  <si>
    <t>Svc W Day.7</t>
  </si>
  <si>
    <t>Assisting with swap-outs during daily operations</t>
  </si>
  <si>
    <t>Work with OCC Controllers, Road Supervisors, and others to facilitate swap-outs, when needed, for buses that fail in the field (i.e., a road call).
Performing a swap-out requires the Service Writer to identify an available bus, communicate that alternate bus and its location to staff, and update Trapeze Ops with the bus change.
Performing a swap-out requires the Service Writer to identify an alternate bus for the block, communicate that alternate bus and its location to staff, and update Trapeze Ops with the bus change.</t>
  </si>
  <si>
    <t>Svc W Day.8</t>
  </si>
  <si>
    <t>Performing other maintenance and yard coordination tasks</t>
  </si>
  <si>
    <t>Assist, as needed, with other maintenance and yard coordination tasks.</t>
  </si>
  <si>
    <t>Svc W Day.9</t>
  </si>
  <si>
    <t>Inspecting pulled-in buses and relasing for yard automation</t>
  </si>
  <si>
    <t>After operator post-trip inspection, test / inspect yard automation system on each bus and confirm if ready for yard automation. If yes, release bus for yard automation (update YMS). If no, report problem to be handled by Service Truck</t>
  </si>
  <si>
    <r>
      <t xml:space="preserve">Position: Service Writer - Night Shift (Position Code: </t>
    </r>
    <r>
      <rPr>
        <b/>
        <i/>
        <sz val="14"/>
        <color theme="1"/>
        <rFont val="Calibri"/>
        <family val="2"/>
        <scheme val="minor"/>
      </rPr>
      <t>Svc W Night</t>
    </r>
    <r>
      <rPr>
        <b/>
        <sz val="14"/>
        <color theme="1"/>
        <rFont val="Calibri"/>
        <family val="2"/>
        <scheme val="minor"/>
      </rPr>
      <t>)</t>
    </r>
  </si>
  <si>
    <t>Svc W Night.1</t>
  </si>
  <si>
    <t>Walk the bus yard to:
• Note the location of each bus.
• Verify odometer readings on the bus.</t>
  </si>
  <si>
    <t>Svc W Night.2</t>
  </si>
  <si>
    <t>Svc W Night.3</t>
  </si>
  <si>
    <t>Inputting odometer readings</t>
  </si>
  <si>
    <t>Input the collected odometer readings into EAM.</t>
  </si>
  <si>
    <t>Svc W Night.4</t>
  </si>
  <si>
    <t>Svc W Night.5</t>
  </si>
  <si>
    <t>Pre-heating buses</t>
  </si>
  <si>
    <t>Start buses during extreme weather conditions to make sure there are no issues with the engine or heating system and to warm up the interior of the bus.
Cold weather starts are required when temperature reaches 38° F or colder.</t>
  </si>
  <si>
    <t>Svc W Night.6</t>
  </si>
  <si>
    <t>Work with Bus Operators, Maintenance Supervisors, Mechanics / Technicians (in the yard), Road Supervisors (in the yard), Bus Service Inspectors (in the yard), and Radio Controllers to facilitate successful pull-out, including responding to possible mechanical issues in the yard and facilitating bus swap-outs.
Performing a swap-out requires the Service Writer to identify an alternate bus for the block, communicate that alternate bus and its location to staff, and update Trapeze Ops with the bus change.</t>
  </si>
  <si>
    <t>Svc W Night.7</t>
  </si>
  <si>
    <t>Svc W Night.8</t>
  </si>
  <si>
    <t>Work with Radio Controllers, Road Supervisors, and others to facilitate swap-outs, when needed, for buses that fail in the field (i.e., a road call).
Performing a swap-out requires the Service Writer to identify an available bus, communicate that alternate bus and its location to staff, and update Trapeze Ops with the bus change.
Performing a swap-out requires the Service Writer to identify an alternate bus for the block, communicate that alternate bus and its location to staff, and update Trapeze Ops with the bus change.</t>
  </si>
  <si>
    <t>Svc W Night.9</t>
  </si>
  <si>
    <t>Position: Service Island Attendant - Probe Shack Role (Position Code: Svc Is Probe Shack)</t>
  </si>
  <si>
    <t>Svc Is Probe Shack.1</t>
  </si>
  <si>
    <t>Waiting for arrivals</t>
  </si>
  <si>
    <t xml:space="preserve">Wait in probe shack, which is outdoors, for bus arrivals during pull-in.
</t>
  </si>
  <si>
    <t>Svc Is Probe Shack.2</t>
  </si>
  <si>
    <t>Greeting arriving bus, initiating probing</t>
  </si>
  <si>
    <t>Greet the operator and prepare to board the bus with an empty cash box and the probe wand.
Place the probe wand in the correct position to communicate with the farebox and wait for the farebox to open.</t>
  </si>
  <si>
    <t>Svc Is Probe Shack.3</t>
  </si>
  <si>
    <t>Swapping farebox cashbox</t>
  </si>
  <si>
    <t>Remove the cashbox from the farebox and replace it with the empty cashbox.
Close the farebox.</t>
  </si>
  <si>
    <t>Svc Is Probe Shack.4</t>
  </si>
  <si>
    <t>Vaulting cashbox</t>
  </si>
  <si>
    <t>Step off of the bus with the filled cashbox, place the cashbox in the vault, close the vault door, and turn the handle to vault the cash and empty the cashbox</t>
  </si>
  <si>
    <t>Svc Is Probe Shack.5</t>
  </si>
  <si>
    <t>In-between bus time</t>
  </si>
  <si>
    <t>Wait for buses in the queue to move and position in front of probe shack.</t>
  </si>
  <si>
    <t>Svc Is Probe Shack.6</t>
  </si>
  <si>
    <t>Other duties as assigned</t>
  </si>
  <si>
    <t>Perform other duties as assigned.</t>
  </si>
  <si>
    <t>Position: Service Island Attendant - Fuels/Oil Role (Position Code: Svc Is Fuels / Oil)</t>
  </si>
  <si>
    <t>Svc Is Fuel/Oil.1</t>
  </si>
  <si>
    <t>Checking and replenishing fuel, oil, and other fluids</t>
  </si>
  <si>
    <r>
      <rPr>
        <b/>
        <sz val="11"/>
        <color theme="1"/>
        <rFont val="Calibri"/>
        <family val="2"/>
        <scheme val="minor"/>
      </rPr>
      <t xml:space="preserve">Diesel and gasoline buses only:
</t>
    </r>
    <r>
      <rPr>
        <sz val="11"/>
        <color theme="1"/>
        <rFont val="Calibri"/>
        <family val="2"/>
        <scheme val="minor"/>
      </rPr>
      <t xml:space="preserve">• Replenish fuel using fueling system.
• Check oil levels and replenish if necessary.
• Check engine coolant levels and replenish if necessary.
</t>
    </r>
    <r>
      <rPr>
        <b/>
        <sz val="11"/>
        <color theme="1"/>
        <rFont val="Calibri"/>
        <family val="2"/>
        <scheme val="minor"/>
      </rPr>
      <t>BEBs only:</t>
    </r>
    <r>
      <rPr>
        <sz val="11"/>
        <color theme="1"/>
        <rFont val="Calibri"/>
        <family val="2"/>
        <scheme val="minor"/>
      </rPr>
      <t xml:space="preserve">
• Check battery coolant levels and replenish if necessary.
</t>
    </r>
    <r>
      <rPr>
        <b/>
        <sz val="11"/>
        <color theme="1"/>
        <rFont val="Calibri"/>
        <family val="2"/>
        <scheme val="minor"/>
      </rPr>
      <t xml:space="preserve">All buses:
</t>
    </r>
    <r>
      <rPr>
        <sz val="11"/>
        <color theme="1"/>
        <rFont val="Calibri"/>
        <family val="2"/>
        <scheme val="minor"/>
      </rPr>
      <t>• Check windshield washer fluid levels and replenish if necessary.</t>
    </r>
  </si>
  <si>
    <t>Svc Is Fuel/Oil.2</t>
  </si>
  <si>
    <t>Cleaning up service island and other tasks</t>
  </si>
  <si>
    <t>Cleaning up the service island and performing other duties as assigned</t>
  </si>
  <si>
    <t>Position: Service Island Attendant - Sweeping / Mopping Role (Position Code: Svc Is Sweeping / Mopping)</t>
  </si>
  <si>
    <t>Svc Is Sweeping / Mopping .1</t>
  </si>
  <si>
    <t>Sweeping and mopping in inside of the bus</t>
  </si>
  <si>
    <t>Board the bus and, working with other Service Island Attendants, clean up trash, sweep out trash and dirt, and mop the floor.</t>
  </si>
  <si>
    <t>Svc Is Sweeping / Mopping .2</t>
  </si>
  <si>
    <t>Position: Service Island Attendant - Windows / Dashes Role (Position Code: Svc Is Windows / Dashes)</t>
  </si>
  <si>
    <t>Svc Is Windows/Dashes.1</t>
  </si>
  <si>
    <t>Cleaning windows, dashes, and other surfaces</t>
  </si>
  <si>
    <t>Board the bus and, working with other Service Island Attendants, clean the interior of the windshield, interior of windows, dashes, wheel well surfaces, and seats.</t>
  </si>
  <si>
    <t>Svc Is Windows/Dashes.2</t>
  </si>
  <si>
    <t>Position: Service Island Attendant - Puller &amp; Parker Role (Position Code: Svc Is PullPark)</t>
  </si>
  <si>
    <t>Svc Is PullPark.1</t>
  </si>
  <si>
    <t>Boarding and starting the bus</t>
  </si>
  <si>
    <t>Board the bus in the service lane, put on seat belt, and start the bus.</t>
  </si>
  <si>
    <t>Svc Is PullPark.2</t>
  </si>
  <si>
    <t>Driving to service island bay</t>
  </si>
  <si>
    <t>Drive the bus from the service lane to the next available bay at the service island.</t>
  </si>
  <si>
    <t>Svc Is PullPark.3</t>
  </si>
  <si>
    <t>Boarding and starting the bus in service island</t>
  </si>
  <si>
    <t>Board the bus after all interior cleaning and fluid checks and replenishment tasks are completed. Fasten seatbelt, start the bus, wait for bus to be ready to move. Signal to others that the bus is being moved by honking horn.</t>
  </si>
  <si>
    <t>Svc Is PullPark.4</t>
  </si>
  <si>
    <t>Washing the bus</t>
  </si>
  <si>
    <t>If a bus is scheduled to be washed (which is about once a week), drive the bus into the bus wash bay and position the bus in the correct location. Get off the bus and use the wash bay interface to set the correct washing protocol. Get back on the bus, secure door, and wait for washing to complete.</t>
  </si>
  <si>
    <t>Svc Is PullPark.5</t>
  </si>
  <si>
    <t>Parking the bus</t>
  </si>
  <si>
    <t>Depart the service island (or, in the case of a washed bus, depart the wash bay) and drive the bus to be parked into its designated lane. Shut off and secure bus.</t>
  </si>
  <si>
    <t>Svc Is PullPark.6</t>
  </si>
  <si>
    <t>Walking back to service lane or island for next bus</t>
  </si>
  <si>
    <t>Walk from parking location back to the service island or service lane to begin the process for the next bus.</t>
  </si>
  <si>
    <t>Position: Yard Supervisor</t>
  </si>
  <si>
    <t>Yard Sup.1</t>
  </si>
  <si>
    <t>Managing the pull-out staging queue</t>
  </si>
  <si>
    <t>Be present at the pull-out staging queue and proactively manage queue, ensuring smooth operations</t>
  </si>
  <si>
    <t>Yard Sup.2</t>
  </si>
  <si>
    <t>Inspecting pulled-in buses and releasing for yard automation</t>
  </si>
  <si>
    <t>Yard Sup.3</t>
  </si>
  <si>
    <t>Monitoring bus charging</t>
  </si>
  <si>
    <t>Help monitoring bus charging status and triage any charging alerts / issued raised by YMS.</t>
  </si>
  <si>
    <t>Yard Sup.4</t>
  </si>
  <si>
    <t>Assisting with other yard management tasks</t>
  </si>
  <si>
    <t>Providing support and oversight for yard operations in addition to other key tasks.</t>
  </si>
  <si>
    <t>Position: Yard Hostler</t>
  </si>
  <si>
    <t>Yard Host.1</t>
  </si>
  <si>
    <t>Supporting pull-out, including staging queue and other bus movement tasks</t>
  </si>
  <si>
    <t>Be present at the pull-out staging queue and proactively respond to pull-out / staging queue issues, manually operating buses as needed.</t>
  </si>
  <si>
    <t>Yard Host.2</t>
  </si>
  <si>
    <t>Supporting inspection of pulled-in buses and manually driving buses, if necessary</t>
  </si>
  <si>
    <t>After operator post-trip inspection, test / inspect yard automation system on each bus and confirm if ready for yard automation. If yes, release bus for yard automation (update YMS). If no, report problem. (Serves as back-up to Yard Supervisor.) May drive buses manually from service lane to fuel island, through wash, and to parking, if needed.</t>
  </si>
  <si>
    <t>Yard Host.3</t>
  </si>
  <si>
    <t>Help support bus charging and triage any charging alerts / issued raised by YMS. Report to buses and move buses manually if necessary.</t>
  </si>
  <si>
    <t>Yard Host.4</t>
  </si>
  <si>
    <t>Providing support for yard operations in addition to other key tasks.</t>
  </si>
  <si>
    <t>Use Case</t>
  </si>
  <si>
    <t>Decision ID</t>
  </si>
  <si>
    <t>Decision Tier</t>
  </si>
  <si>
    <t>Decision Title</t>
  </si>
  <si>
    <t>Description</t>
  </si>
  <si>
    <t>Model Variable Applies to</t>
  </si>
  <si>
    <t>Rural</t>
  </si>
  <si>
    <t>Small Urban</t>
  </si>
  <si>
    <t>Task Change %</t>
  </si>
  <si>
    <t>Position Applicability</t>
  </si>
  <si>
    <t>Agency Application</t>
  </si>
  <si>
    <t>Only transit agencies with bus service (could
include DR, FR, BRT, and all bus modes).</t>
  </si>
  <si>
    <t>Number of agencies</t>
  </si>
  <si>
    <t>Implementation</t>
  </si>
  <si>
    <t>Use Case Implementation</t>
  </si>
  <si>
    <t>What percent of transit agencies with bus
service will implement?</t>
  </si>
  <si>
    <t>Yard Implementation</t>
  </si>
  <si>
    <t>At what percent of bus yards will automated
yard movements be implemented?</t>
  </si>
  <si>
    <t>Number of bus yards</t>
  </si>
  <si>
    <t>1.Op.1</t>
  </si>
  <si>
    <t>Task Impact Ratio</t>
  </si>
  <si>
    <t>Operators' task 1 impacts</t>
  </si>
  <si>
    <t>By what factor will time spent on operators' task 1 increase or decrease? (By what percentage will this task be automated?)</t>
  </si>
  <si>
    <t>All bus operators, as applicable</t>
  </si>
  <si>
    <t>1.Op.2</t>
  </si>
  <si>
    <t>Operators' task 2 impacts</t>
  </si>
  <si>
    <t>By what factor will time spent on operators' task 2 increase or decrease? (By what percentage will this task be automated?)</t>
  </si>
  <si>
    <t>1.Op.3</t>
  </si>
  <si>
    <t>Operators' task 3 impacts</t>
  </si>
  <si>
    <t>By what factor will time spent on operators' task 3 increase or decrease? (By what percentage will this task be automated?)</t>
  </si>
  <si>
    <t>1.Op.4</t>
  </si>
  <si>
    <t>Operators' task 4 impacts</t>
  </si>
  <si>
    <t>By what factor will time spent on operators' task 4 increase or decrease? (By what percentage will this task be automated?)</t>
  </si>
  <si>
    <t>1.Op.5</t>
  </si>
  <si>
    <t>Operators' task 5 impacts</t>
  </si>
  <si>
    <t>By what factor will time spent on operators' task 5 increase or decrease? (By what percentage will this task be automated?)</t>
  </si>
  <si>
    <t>1.Op.6</t>
  </si>
  <si>
    <t>Operators' task 6 impacts</t>
  </si>
  <si>
    <t>By what factor will time spent on operators' task 6 increase or decrease? (By what percentage will this task be automated?)</t>
  </si>
  <si>
    <t>1.Mech.1</t>
  </si>
  <si>
    <t>Mechanics' task 1 impact</t>
  </si>
  <si>
    <t>All mechanics, as applicable</t>
  </si>
  <si>
    <t>1.Mech.2</t>
  </si>
  <si>
    <t>Mechanics' task 2 impact</t>
  </si>
  <si>
    <t>1.Mech.3</t>
  </si>
  <si>
    <t>Mechanics' task 3 impact</t>
  </si>
  <si>
    <t>1.Mech.4</t>
  </si>
  <si>
    <t>Mechanics' task 4 impact</t>
  </si>
  <si>
    <t>1.Mech.5</t>
  </si>
  <si>
    <t>Mechanics' task 5 impact</t>
  </si>
  <si>
    <t>1.Mech.6</t>
  </si>
  <si>
    <t>Mechanics' task 6 impact</t>
  </si>
  <si>
    <t>1.Svc.1</t>
  </si>
  <si>
    <t>Service person task 1 impact</t>
  </si>
  <si>
    <t>All service people, as applicable</t>
  </si>
  <si>
    <t>1.Svc.2</t>
  </si>
  <si>
    <t>Service person task 2 impact</t>
  </si>
  <si>
    <t>1.Svc.3</t>
  </si>
  <si>
    <t>Service person task 3 impact</t>
  </si>
  <si>
    <t>1.Svc.4</t>
  </si>
  <si>
    <t>Service person task 4 impact</t>
  </si>
  <si>
    <t>1.Svc.5</t>
  </si>
  <si>
    <t>Service person task 5 impact</t>
  </si>
  <si>
    <t>1.Svc.6</t>
  </si>
  <si>
    <t>Service person task 6 impact</t>
  </si>
  <si>
    <t>1.Disp.1</t>
  </si>
  <si>
    <t>Dispatcher Task 1 Impacts</t>
  </si>
  <si>
    <t>All, as applicable</t>
  </si>
  <si>
    <t>1.Disp.2</t>
  </si>
  <si>
    <t>Dispatcher Task 2 Impacts</t>
  </si>
  <si>
    <t>1.Disp.3</t>
  </si>
  <si>
    <t>Dispatcher Task 3 Impacts</t>
  </si>
  <si>
    <t>1.Disp.4</t>
  </si>
  <si>
    <t>Dispatcher Task 4 Impacts</t>
  </si>
  <si>
    <t>1.Disp.5</t>
  </si>
  <si>
    <t>Dispatcher Task 5 Impacts</t>
  </si>
  <si>
    <t>1.Disp.6</t>
  </si>
  <si>
    <t>Dispatcher Task 6 Impacts</t>
  </si>
  <si>
    <t>1.Supv.1</t>
  </si>
  <si>
    <t>Street Supervisor Task 1 Impact</t>
  </si>
  <si>
    <t>1.Supv.2</t>
  </si>
  <si>
    <t>Street Supervisor Task 2 Impact</t>
  </si>
  <si>
    <t>1.Supv.3</t>
  </si>
  <si>
    <t>Street Supervisor Task 3 Impact</t>
  </si>
  <si>
    <t>1.Supv.4</t>
  </si>
  <si>
    <t>Street Supervisor Task 4 Impact</t>
  </si>
  <si>
    <t>1.Supv.5</t>
  </si>
  <si>
    <t>Street Supervisor Task 5 Impact</t>
  </si>
  <si>
    <t>1.Supv.6</t>
  </si>
  <si>
    <t>Street Supervisor Task 6 Impact</t>
  </si>
  <si>
    <t>What percentage of transit agencies with local bus service provide is feeder/circulator service (referred to as circulator service)?</t>
  </si>
  <si>
    <t>What percent of transit agencies with
circulator service will implement?</t>
  </si>
  <si>
    <t>2.2.1</t>
  </si>
  <si>
    <t>Percent Service Eligible for Replacement</t>
  </si>
  <si>
    <t>What percent of local bus service is circulator
service?</t>
  </si>
  <si>
    <t>2.2.2</t>
  </si>
  <si>
    <t>Percent Eligible Service Replaced</t>
  </si>
  <si>
    <t>What percent of existing circulator service
would be replaced with automation?</t>
  </si>
  <si>
    <t>2.Op.1</t>
  </si>
  <si>
    <t>All fixed-route bus operators (no BRT, no DR)</t>
  </si>
  <si>
    <t>2.Op.2</t>
  </si>
  <si>
    <t>2.Op.3</t>
  </si>
  <si>
    <t>2.Op.4</t>
  </si>
  <si>
    <t>2.Op.5</t>
  </si>
  <si>
    <t>2.Op.6</t>
  </si>
  <si>
    <t>2.Mech.1</t>
  </si>
  <si>
    <t>Mechanics</t>
  </si>
  <si>
    <t>2.Mech.2</t>
  </si>
  <si>
    <t>2.Mech.3</t>
  </si>
  <si>
    <t>2.Mech.4</t>
  </si>
  <si>
    <t>2.Mech.5</t>
  </si>
  <si>
    <t>2.Mech.6</t>
  </si>
  <si>
    <t>2.Svc.1</t>
  </si>
  <si>
    <t>Service People</t>
  </si>
  <si>
    <t>2.Svc.2</t>
  </si>
  <si>
    <t>2.Svc.3</t>
  </si>
  <si>
    <t>2.Svc.4</t>
  </si>
  <si>
    <t>2.Svc.5</t>
  </si>
  <si>
    <t>2.Svc.6</t>
  </si>
  <si>
    <t>2.Disp.1</t>
  </si>
  <si>
    <t>Dispatcher / Controllers, fixed route (no BRT, no DR)</t>
  </si>
  <si>
    <t>2.Disp.2</t>
  </si>
  <si>
    <t>2.Disp.3</t>
  </si>
  <si>
    <t>2.Disp.4</t>
  </si>
  <si>
    <t>2.Disp.5</t>
  </si>
  <si>
    <t>2.Disp.6</t>
  </si>
  <si>
    <t>2.Supv.1</t>
  </si>
  <si>
    <t>2.Supv.2</t>
  </si>
  <si>
    <t>2.Supv.3</t>
  </si>
  <si>
    <t>2.Supv.4</t>
  </si>
  <si>
    <t>2.Supv.5</t>
  </si>
  <si>
    <t>2.Supv.6</t>
  </si>
  <si>
    <t>Street Supervisors, fixed route (no BRT, no DR)</t>
  </si>
  <si>
    <t>Only transit agencies with BRT service are
eligible for this use case, and operator counts
are already disaggregated by BRT.</t>
  </si>
  <si>
    <t>What percent of transit agencies with BRT
service will implement?</t>
  </si>
  <si>
    <t>3.2.1</t>
  </si>
  <si>
    <t>Implementation Service: Service Replaced</t>
  </si>
  <si>
    <t>Revenue Service Actually Replaced</t>
  </si>
  <si>
    <t>What percent of BRT service would be
replaced with automation?</t>
  </si>
  <si>
    <t>3.Op.1</t>
  </si>
  <si>
    <t>Task Impact</t>
  </si>
  <si>
    <t>BRT Bus Operators</t>
  </si>
  <si>
    <t>3.Op.2</t>
  </si>
  <si>
    <t>3.Op.3</t>
  </si>
  <si>
    <t>3.Op.4</t>
  </si>
  <si>
    <t>3.Op.5</t>
  </si>
  <si>
    <t>3.Op.6</t>
  </si>
  <si>
    <t>3.Mech.1</t>
  </si>
  <si>
    <t>Mechanics (proportional to BRT service)</t>
  </si>
  <si>
    <t>3.Mech.2</t>
  </si>
  <si>
    <t>3.Mech.3</t>
  </si>
  <si>
    <t>3.Mech.4</t>
  </si>
  <si>
    <t>3.Mech.5</t>
  </si>
  <si>
    <t>3.Mech.6</t>
  </si>
  <si>
    <t>3.Svc.1</t>
  </si>
  <si>
    <t>Service People (proportional to BRT service)</t>
  </si>
  <si>
    <t>3.Svc.2</t>
  </si>
  <si>
    <t>3.Svc.3</t>
  </si>
  <si>
    <t>3.Svc.4</t>
  </si>
  <si>
    <t>3.Svc.5</t>
  </si>
  <si>
    <t>3.Svc.6</t>
  </si>
  <si>
    <t>3.Disp.1</t>
  </si>
  <si>
    <t>BRT Dispatcher / Controllers</t>
  </si>
  <si>
    <t>3.Disp.2</t>
  </si>
  <si>
    <t>3.Disp.3</t>
  </si>
  <si>
    <t>3.Disp.4</t>
  </si>
  <si>
    <t>3.Disp.5</t>
  </si>
  <si>
    <t>3.Disp.6</t>
  </si>
  <si>
    <t>3.Supv.1</t>
  </si>
  <si>
    <t>BRT Street Supervisors</t>
  </si>
  <si>
    <t>3.Supv.2</t>
  </si>
  <si>
    <t>3.Supv.3</t>
  </si>
  <si>
    <t>3.Supv.4</t>
  </si>
  <si>
    <t>3.Supv.5</t>
  </si>
  <si>
    <t>3.Supv.6</t>
  </si>
  <si>
    <t>What percentage of transit agencies have DR
service that is non-ADA DR service?</t>
  </si>
  <si>
    <t>What percent of transit agencies with non-
ADA DR service will implement?</t>
  </si>
  <si>
    <t>4.1.1</t>
  </si>
  <si>
    <t>What percent of demand-response bus
service is non-ADA DR service?</t>
  </si>
  <si>
    <t>4.2.1</t>
  </si>
  <si>
    <t>Implementation Service: Replace Existing</t>
  </si>
  <si>
    <t>What percent of existing non-ADA DR service
would be replaced with automation?</t>
  </si>
  <si>
    <t>4.Op.1</t>
  </si>
  <si>
    <t>DR Bus Operators</t>
  </si>
  <si>
    <t>4.Op.2</t>
  </si>
  <si>
    <t>4.Op.3</t>
  </si>
  <si>
    <t>4.Op.4</t>
  </si>
  <si>
    <t>4.Op.5</t>
  </si>
  <si>
    <t>4.Op.6</t>
  </si>
  <si>
    <t>4.Mech.1</t>
  </si>
  <si>
    <t>Mechanics (proportional to non-ADA DR service)</t>
  </si>
  <si>
    <t>4.Mech.2</t>
  </si>
  <si>
    <t>4.Mech.3</t>
  </si>
  <si>
    <t>4.Mech.4</t>
  </si>
  <si>
    <t>4.Mech.5</t>
  </si>
  <si>
    <t>4.Mech.6</t>
  </si>
  <si>
    <t>4.Svc.1</t>
  </si>
  <si>
    <t>Service People (proportional to non-ADA DR service)</t>
  </si>
  <si>
    <t>4.Svc.2</t>
  </si>
  <si>
    <t>4.Svc.3</t>
  </si>
  <si>
    <t>4.Svc.4</t>
  </si>
  <si>
    <t>4.Svc.5</t>
  </si>
  <si>
    <t>4.Svc.6</t>
  </si>
  <si>
    <t>4.Disp.1</t>
  </si>
  <si>
    <t>DR Dispatcher / Controllers</t>
  </si>
  <si>
    <t>4.Disp.2</t>
  </si>
  <si>
    <t>4.Disp.3</t>
  </si>
  <si>
    <t>4.Disp.4</t>
  </si>
  <si>
    <t>4.Disp.5</t>
  </si>
  <si>
    <t>4.Disp.6</t>
  </si>
  <si>
    <t>4.Supv.1</t>
  </si>
  <si>
    <t>DR Street Supervisors</t>
  </si>
  <si>
    <t>4.Supv.2</t>
  </si>
  <si>
    <t>4.Supv.3</t>
  </si>
  <si>
    <t>4.Supv.4</t>
  </si>
  <si>
    <t>4.Supv.5</t>
  </si>
  <si>
    <t>4.Supv.6</t>
  </si>
  <si>
    <t>What percentage of transit agencies operate
fixed-route bus service that is non-BRT fixed-route bus service (referred to as local bus)?</t>
  </si>
  <si>
    <t>What percent of transit agencies with local
bus service will implement?</t>
  </si>
  <si>
    <t>5.2.1</t>
  </si>
  <si>
    <t>Percent Service
Eligible for Replacement</t>
  </si>
  <si>
    <t>All non-BRT fixed-route bus service is eligible
for replacement.</t>
  </si>
  <si>
    <t>5.2.2</t>
  </si>
  <si>
    <t>What percent of existing local bus service
would be replaced with automation?</t>
  </si>
  <si>
    <t>5.Op.1</t>
  </si>
  <si>
    <t>FR bus operators (no DR)</t>
  </si>
  <si>
    <t>5.Op.2</t>
  </si>
  <si>
    <t>5.Op.3</t>
  </si>
  <si>
    <t>5.Op.4</t>
  </si>
  <si>
    <t>5.Op.5</t>
  </si>
  <si>
    <t>5.Op.6</t>
  </si>
  <si>
    <t>5.Mech.1</t>
  </si>
  <si>
    <t>FR bus Mechanics</t>
  </si>
  <si>
    <t>5.Mech.2</t>
  </si>
  <si>
    <t>5.Mech.3</t>
  </si>
  <si>
    <t>5.Mech.4</t>
  </si>
  <si>
    <t>5.Mech.5</t>
  </si>
  <si>
    <t>5.Mech.6</t>
  </si>
  <si>
    <t>5.Svc.1</t>
  </si>
  <si>
    <t xml:space="preserve">FR bus Service People </t>
  </si>
  <si>
    <t>5.Svc.2</t>
  </si>
  <si>
    <t>5.Svc.3</t>
  </si>
  <si>
    <t>5.Svc.4</t>
  </si>
  <si>
    <t>5.Svc.5</t>
  </si>
  <si>
    <t>5.Svc.6</t>
  </si>
  <si>
    <t>5.Disp.1</t>
  </si>
  <si>
    <t>FR bus Dispatcher / Controllers</t>
  </si>
  <si>
    <t>5.Disp.2</t>
  </si>
  <si>
    <t>5.Disp.3</t>
  </si>
  <si>
    <t>5.Disp.4</t>
  </si>
  <si>
    <t>5.Disp.5</t>
  </si>
  <si>
    <t>5.Disp.6</t>
  </si>
  <si>
    <t>5.Supv.1</t>
  </si>
  <si>
    <t>FR bus Supervisors</t>
  </si>
  <si>
    <t>5.Supv.2</t>
  </si>
  <si>
    <t>5.Supv.3</t>
  </si>
  <si>
    <t>5.Supv.4</t>
  </si>
  <si>
    <t>5.Supv.5</t>
  </si>
  <si>
    <t>5.Supv.6</t>
  </si>
  <si>
    <t>Agency Type</t>
  </si>
  <si>
    <t>Position</t>
  </si>
  <si>
    <t>Grand Total</t>
  </si>
  <si>
    <t>Bus Operator (Total)</t>
  </si>
  <si>
    <t>Fixed Route Operator</t>
  </si>
  <si>
    <t>Demand Response Operator</t>
  </si>
  <si>
    <t>BRT Operator</t>
  </si>
  <si>
    <t>Dispatcher / Controller (Total)</t>
  </si>
  <si>
    <t>Fixed Route Dispatcher / Controller</t>
  </si>
  <si>
    <t>Demand Resposne Dispatcher / Controller</t>
  </si>
  <si>
    <t>BRT Dispatcher / Controller</t>
  </si>
  <si>
    <t>Road / Street Supervisor or Traffic Controller (Total)</t>
  </si>
  <si>
    <t>Fixed Route Supervisor</t>
  </si>
  <si>
    <t>Demand Response Supervisor</t>
  </si>
  <si>
    <t>BRT Supervisor</t>
  </si>
  <si>
    <t>Bus Mechanic / Maintenance Technician</t>
  </si>
  <si>
    <t>Fixed Route Mechanic</t>
  </si>
  <si>
    <t>Demand Response Mechanic</t>
  </si>
  <si>
    <t>BRT Mechanic</t>
  </si>
  <si>
    <t>Bus Service Person / Fueler / Cleaner</t>
  </si>
  <si>
    <t>Fixed Route Service Person</t>
  </si>
  <si>
    <t>Demand Response Service Person</t>
  </si>
  <si>
    <t>BRT Service Person</t>
  </si>
  <si>
    <t>Based on: Employee Count Matrix-FINAL.xlsx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</si>
</sst>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
    <numFmt numFmtId="166" formatCode="0.0000"/>
  </numFmts>
  <fonts count="21">
    <font>
      <sz val="11"/>
      <color theme="1"/>
      <name val="Calibri"/>
      <family val="2"/>
      <scheme val="minor"/>
    </font>
    <font>
      <b/>
      <sz val="11"/>
      <color theme="0"/>
      <name val="Calibri"/>
      <family val="2"/>
      <scheme val="minor"/>
    </font>
    <font>
      <sz val="11"/>
      <color rgb="FF000000"/>
      <name val="Calibri"/>
      <family val="2"/>
      <scheme val="minor"/>
    </font>
    <font>
      <b/>
      <sz val="12"/>
      <color rgb="FF000000"/>
      <name val="Calibri"/>
      <family val="2"/>
      <scheme val="minor"/>
    </font>
    <font>
      <sz val="11"/>
      <color theme="1"/>
      <name val="Calibri"/>
      <family val="2"/>
      <scheme val="minor"/>
    </font>
    <font>
      <b/>
      <sz val="14"/>
      <color theme="1"/>
      <name val="Calibri"/>
      <family val="2"/>
      <scheme val="minor"/>
    </font>
    <font>
      <b/>
      <i/>
      <sz val="14"/>
      <color theme="1"/>
      <name val="Calibri"/>
      <family val="2"/>
      <scheme val="minor"/>
    </font>
    <font>
      <sz val="11"/>
      <color rgb="FFFF0000"/>
      <name val="Calibri"/>
      <family val="2"/>
      <scheme val="minor"/>
    </font>
    <font>
      <b/>
      <sz val="11"/>
      <color theme="1"/>
      <name val="Calibri"/>
      <family val="2"/>
      <scheme val="minor"/>
    </font>
    <font>
      <sz val="11"/>
      <color theme="2" tint="-0.499984740745262"/>
      <name val="Calibri"/>
      <family val="2"/>
      <scheme val="minor"/>
    </font>
    <font>
      <sz val="11"/>
      <name val="Calibri"/>
      <family val="2"/>
      <scheme val="minor"/>
    </font>
    <font>
      <b/>
      <sz val="12"/>
      <color theme="1"/>
      <name val="Calibri"/>
      <family val="2"/>
      <scheme val="minor"/>
    </font>
    <font>
      <sz val="11"/>
      <color rgb="FF3F3F76"/>
      <name val="Calibri"/>
      <family val="2"/>
      <scheme val="minor"/>
    </font>
    <font>
      <u/>
      <sz val="11"/>
      <color theme="10"/>
      <name val="Calibri"/>
      <family val="2"/>
      <scheme val="minor"/>
    </font>
    <font>
      <sz val="8"/>
      <name val="Calibri"/>
      <family val="2"/>
      <scheme val="minor"/>
    </font>
    <font>
      <sz val="11"/>
      <color theme="4"/>
      <name val="Calibri"/>
      <family val="2"/>
      <scheme val="minor"/>
    </font>
    <font>
      <sz val="11"/>
      <color theme="5"/>
      <name val="Calibri"/>
      <family val="2"/>
      <scheme val="minor"/>
    </font>
    <font>
      <sz val="11"/>
      <color theme="0" tint="-0.14999847407452621"/>
      <name val="Calibri"/>
      <family val="2"/>
      <scheme val="minor"/>
    </font>
    <font>
      <sz val="13"/>
      <color theme="1"/>
      <name val="Calibri"/>
      <family val="2"/>
      <scheme val="minor"/>
    </font>
    <font>
      <sz val="13"/>
      <name val="Calibri"/>
      <family val="2"/>
      <scheme val="minor"/>
    </font>
    <font>
      <sz val="14"/>
      <color theme="1"/>
      <name val="Calibri"/>
      <family val="2"/>
      <scheme val="minor"/>
    </font>
  </fonts>
  <fills count="9">
    <fill>
      <patternFill patternType="none"/>
    </fill>
    <fill>
      <patternFill patternType="gray125"/>
    </fill>
    <fill>
      <patternFill patternType="solid">
        <fgColor theme="4" tint="-0.499984740745262"/>
        <bgColor indexed="64"/>
      </patternFill>
    </fill>
    <fill>
      <patternFill patternType="solid">
        <fgColor theme="2" tint="-0.249977111117893"/>
        <bgColor indexed="64"/>
      </patternFill>
    </fill>
    <fill>
      <patternFill patternType="solid">
        <fgColor theme="0" tint="-4.9989318521683403E-2"/>
        <bgColor indexed="64"/>
      </patternFill>
    </fill>
    <fill>
      <patternFill patternType="solid">
        <fgColor theme="0" tint="-0.34998626667073579"/>
        <bgColor indexed="64"/>
      </patternFill>
    </fill>
    <fill>
      <patternFill patternType="solid">
        <fgColor rgb="FFFFCC99"/>
      </patternFill>
    </fill>
    <fill>
      <patternFill patternType="solid">
        <fgColor theme="1"/>
        <bgColor theme="1"/>
      </patternFill>
    </fill>
    <fill>
      <patternFill patternType="solid">
        <fgColor theme="5" tint="-0.249977111117893"/>
        <bgColor theme="1"/>
      </patternFill>
    </fill>
  </fills>
  <borders count="25">
    <border>
      <left/>
      <right/>
      <top/>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bottom style="medium">
        <color indexed="64"/>
      </bottom>
      <diagonal/>
    </border>
    <border>
      <left/>
      <right/>
      <top/>
      <bottom style="medium">
        <color indexed="64"/>
      </bottom>
      <diagonal/>
    </border>
    <border>
      <left style="thin">
        <color rgb="FF7F7F7F"/>
      </left>
      <right style="thin">
        <color rgb="FF7F7F7F"/>
      </right>
      <top style="thin">
        <color rgb="FF7F7F7F"/>
      </top>
      <bottom style="thin">
        <color rgb="FF7F7F7F"/>
      </bottom>
      <diagonal/>
    </border>
    <border>
      <left/>
      <right/>
      <top style="thin">
        <color theme="1"/>
      </top>
      <bottom/>
      <diagonal/>
    </border>
    <border>
      <left/>
      <right/>
      <top/>
      <bottom style="thin">
        <color theme="1"/>
      </bottom>
      <diagonal/>
    </border>
    <border>
      <left/>
      <right/>
      <top style="thin">
        <color theme="1"/>
      </top>
      <bottom style="thin">
        <color indexed="64"/>
      </bottom>
      <diagonal/>
    </border>
    <border>
      <left/>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thin">
        <color theme="1"/>
      </right>
      <top/>
      <bottom/>
      <diagonal/>
    </border>
    <border>
      <left/>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4">
    <xf numFmtId="0" fontId="0" fillId="0" borderId="0"/>
    <xf numFmtId="9" fontId="4" fillId="0" borderId="0" applyFont="0" applyFill="0" applyBorder="0" applyAlignment="0" applyProtection="0"/>
    <xf numFmtId="0" fontId="12" fillId="6" borderId="13" applyNumberFormat="0" applyAlignment="0" applyProtection="0"/>
    <xf numFmtId="0" fontId="13" fillId="0" borderId="0" applyNumberFormat="0" applyFill="0" applyBorder="0" applyAlignment="0" applyProtection="0"/>
  </cellStyleXfs>
  <cellXfs count="166">
    <xf numFmtId="0" fontId="0" fillId="0" borderId="0" xfId="0"/>
    <xf numFmtId="0" fontId="0" fillId="0" borderId="0" xfId="0" applyAlignment="1">
      <alignment horizontal="center"/>
    </xf>
    <xf numFmtId="0" fontId="2" fillId="0" borderId="1" xfId="0" applyFont="1" applyBorder="1"/>
    <xf numFmtId="0" fontId="5" fillId="0" borderId="0" xfId="0" applyFont="1"/>
    <xf numFmtId="9" fontId="0" fillId="0" borderId="0" xfId="1" applyFont="1" applyAlignment="1">
      <alignment horizontal="center"/>
    </xf>
    <xf numFmtId="0" fontId="8" fillId="0" borderId="0" xfId="0" applyFont="1"/>
    <xf numFmtId="9" fontId="8" fillId="0" borderId="0" xfId="1" applyFont="1" applyAlignment="1">
      <alignment horizontal="center"/>
    </xf>
    <xf numFmtId="0" fontId="8" fillId="0" borderId="0" xfId="0" applyFont="1" applyAlignment="1">
      <alignment horizontal="center" wrapText="1"/>
    </xf>
    <xf numFmtId="0" fontId="9" fillId="3" borderId="0" xfId="0" applyFont="1" applyFill="1" applyAlignment="1">
      <alignment wrapText="1"/>
    </xf>
    <xf numFmtId="0" fontId="0" fillId="3" borderId="0" xfId="0" applyFill="1" applyAlignment="1">
      <alignment wrapText="1"/>
    </xf>
    <xf numFmtId="0" fontId="0" fillId="0" borderId="0" xfId="0" applyAlignment="1">
      <alignment wrapText="1"/>
    </xf>
    <xf numFmtId="0" fontId="7" fillId="0" borderId="0" xfId="0" applyFont="1" applyAlignment="1">
      <alignment wrapText="1"/>
    </xf>
    <xf numFmtId="165" fontId="0" fillId="0" borderId="0" xfId="0" applyNumberFormat="1"/>
    <xf numFmtId="9" fontId="0" fillId="0" borderId="0" xfId="1" applyFont="1"/>
    <xf numFmtId="9" fontId="0" fillId="0" borderId="0" xfId="0" applyNumberFormat="1"/>
    <xf numFmtId="0" fontId="0" fillId="0" borderId="0" xfId="0" applyAlignment="1">
      <alignment horizontal="right"/>
    </xf>
    <xf numFmtId="9" fontId="0" fillId="0" borderId="0" xfId="0" applyNumberFormat="1" applyAlignment="1">
      <alignment wrapText="1"/>
    </xf>
    <xf numFmtId="0" fontId="11" fillId="0" borderId="2" xfId="0" applyFont="1" applyBorder="1"/>
    <xf numFmtId="0" fontId="8" fillId="0" borderId="3" xfId="0" applyFont="1" applyBorder="1"/>
    <xf numFmtId="0" fontId="8" fillId="0" borderId="4" xfId="0" applyFont="1" applyBorder="1"/>
    <xf numFmtId="0" fontId="0" fillId="4" borderId="5" xfId="0" applyFill="1" applyBorder="1"/>
    <xf numFmtId="3" fontId="0" fillId="4" borderId="6" xfId="0" applyNumberFormat="1" applyFill="1" applyBorder="1"/>
    <xf numFmtId="3" fontId="0" fillId="4" borderId="7" xfId="0" applyNumberFormat="1" applyFill="1" applyBorder="1"/>
    <xf numFmtId="0" fontId="0" fillId="0" borderId="5" xfId="0" applyBorder="1" applyAlignment="1">
      <alignment horizontal="left" indent="3"/>
    </xf>
    <xf numFmtId="3" fontId="0" fillId="0" borderId="6" xfId="0" applyNumberFormat="1" applyBorder="1"/>
    <xf numFmtId="3" fontId="0" fillId="0" borderId="7" xfId="0" applyNumberFormat="1" applyBorder="1"/>
    <xf numFmtId="0" fontId="0" fillId="0" borderId="8" xfId="0" applyBorder="1" applyAlignment="1">
      <alignment horizontal="left" indent="3"/>
    </xf>
    <xf numFmtId="3" fontId="0" fillId="0" borderId="9" xfId="0" applyNumberFormat="1" applyBorder="1"/>
    <xf numFmtId="3" fontId="0" fillId="0" borderId="10" xfId="0" applyNumberFormat="1" applyBorder="1"/>
    <xf numFmtId="0" fontId="0" fillId="5" borderId="0" xfId="0" applyFill="1" applyAlignment="1">
      <alignment wrapText="1"/>
    </xf>
    <xf numFmtId="9" fontId="0" fillId="5" borderId="0" xfId="0" applyNumberFormat="1" applyFill="1" applyAlignment="1">
      <alignment wrapText="1"/>
    </xf>
    <xf numFmtId="0" fontId="10" fillId="0" borderId="0" xfId="0" applyFont="1" applyAlignment="1">
      <alignment wrapText="1"/>
    </xf>
    <xf numFmtId="0" fontId="10" fillId="0" borderId="0" xfId="0" applyFont="1"/>
    <xf numFmtId="0" fontId="10" fillId="0" borderId="0" xfId="0" applyFont="1" applyAlignment="1">
      <alignment horizontal="right"/>
    </xf>
    <xf numFmtId="2" fontId="0" fillId="0" borderId="0" xfId="0" applyNumberFormat="1"/>
    <xf numFmtId="3" fontId="0" fillId="0" borderId="0" xfId="0" applyNumberFormat="1"/>
    <xf numFmtId="37" fontId="0" fillId="0" borderId="0" xfId="0" applyNumberFormat="1"/>
    <xf numFmtId="0" fontId="8" fillId="0" borderId="0" xfId="0" applyFont="1" applyAlignment="1">
      <alignment wrapText="1"/>
    </xf>
    <xf numFmtId="0" fontId="12" fillId="6" borderId="13" xfId="2"/>
    <xf numFmtId="0" fontId="0" fillId="0" borderId="14" xfId="0" applyBorder="1" applyAlignment="1">
      <alignment wrapText="1"/>
    </xf>
    <xf numFmtId="0" fontId="13" fillId="0" borderId="0" xfId="3" applyFill="1" applyBorder="1" applyAlignment="1">
      <alignment horizontal="left" indent="3"/>
    </xf>
    <xf numFmtId="0" fontId="0" fillId="0" borderId="14" xfId="0" applyBorder="1" applyAlignment="1">
      <alignment vertical="top" wrapText="1"/>
    </xf>
    <xf numFmtId="0" fontId="0" fillId="0" borderId="14" xfId="0" applyBorder="1" applyAlignment="1">
      <alignment horizontal="left" vertical="top" wrapText="1"/>
    </xf>
    <xf numFmtId="0" fontId="0" fillId="0" borderId="0" xfId="0" applyAlignment="1">
      <alignment horizontal="left" vertical="top" wrapText="1"/>
    </xf>
    <xf numFmtId="0" fontId="0" fillId="0" borderId="0" xfId="0" applyAlignment="1">
      <alignment vertical="top" wrapText="1"/>
    </xf>
    <xf numFmtId="0" fontId="0" fillId="0" borderId="16" xfId="0" applyBorder="1" applyAlignment="1">
      <alignment horizontal="left" vertical="top" wrapText="1"/>
    </xf>
    <xf numFmtId="0" fontId="0" fillId="0" borderId="16" xfId="0" applyBorder="1" applyAlignment="1">
      <alignment wrapText="1"/>
    </xf>
    <xf numFmtId="0" fontId="0" fillId="0" borderId="17" xfId="0" applyBorder="1" applyAlignment="1">
      <alignment horizontal="justify" vertical="center" wrapText="1"/>
    </xf>
    <xf numFmtId="0" fontId="0" fillId="0" borderId="16" xfId="0" applyBorder="1" applyAlignment="1">
      <alignment horizontal="right" wrapText="1"/>
    </xf>
    <xf numFmtId="0" fontId="0" fillId="0" borderId="14" xfId="0" applyBorder="1" applyAlignment="1">
      <alignment horizontal="left" vertical="top"/>
    </xf>
    <xf numFmtId="0" fontId="0" fillId="0" borderId="0" xfId="0" applyAlignment="1">
      <alignment horizontal="left" vertical="top"/>
    </xf>
    <xf numFmtId="0" fontId="17" fillId="0" borderId="0" xfId="0" applyFont="1" applyAlignment="1">
      <alignment horizontal="left" vertical="top"/>
    </xf>
    <xf numFmtId="0" fontId="15" fillId="0" borderId="5" xfId="0" applyFont="1" applyBorder="1" applyAlignment="1">
      <alignment horizontal="left" vertical="top"/>
    </xf>
    <xf numFmtId="0" fontId="0" fillId="0" borderId="7" xfId="0" applyBorder="1" applyAlignment="1">
      <alignment horizontal="left" vertical="top"/>
    </xf>
    <xf numFmtId="0" fontId="16" fillId="0" borderId="5" xfId="0" applyFont="1" applyBorder="1" applyAlignment="1">
      <alignment horizontal="left" vertical="top"/>
    </xf>
    <xf numFmtId="0" fontId="17" fillId="0" borderId="5" xfId="0" applyFont="1" applyBorder="1" applyAlignment="1">
      <alignment horizontal="left" vertical="top"/>
    </xf>
    <xf numFmtId="0" fontId="0" fillId="0" borderId="8" xfId="0" applyBorder="1" applyAlignment="1">
      <alignment horizontal="left" vertical="top"/>
    </xf>
    <xf numFmtId="0" fontId="0" fillId="0" borderId="10" xfId="0" applyBorder="1" applyAlignment="1">
      <alignment horizontal="left" vertical="top"/>
    </xf>
    <xf numFmtId="0" fontId="15" fillId="0" borderId="0" xfId="0" applyFont="1"/>
    <xf numFmtId="0" fontId="15" fillId="0" borderId="7" xfId="0" applyFont="1" applyBorder="1" applyAlignment="1">
      <alignment horizontal="left" vertical="top"/>
    </xf>
    <xf numFmtId="0" fontId="15" fillId="0" borderId="0" xfId="0" applyFont="1" applyAlignment="1">
      <alignment horizontal="left" vertical="top"/>
    </xf>
    <xf numFmtId="2" fontId="0" fillId="0" borderId="14" xfId="0" applyNumberFormat="1" applyBorder="1" applyAlignment="1">
      <alignment horizontal="right" vertical="top" wrapText="1"/>
    </xf>
    <xf numFmtId="0" fontId="10" fillId="0" borderId="14" xfId="0" applyFont="1" applyBorder="1" applyAlignment="1">
      <alignment horizontal="left" vertical="top" wrapText="1"/>
    </xf>
    <xf numFmtId="0" fontId="17" fillId="0" borderId="18" xfId="0" applyFont="1" applyBorder="1" applyAlignment="1">
      <alignment horizontal="left" vertical="top"/>
    </xf>
    <xf numFmtId="0" fontId="0" fillId="0" borderId="19" xfId="0" applyBorder="1" applyAlignment="1">
      <alignment horizontal="left" vertical="top"/>
    </xf>
    <xf numFmtId="9" fontId="0" fillId="0" borderId="14" xfId="1" applyFont="1" applyBorder="1" applyAlignment="1">
      <alignment horizontal="right" vertical="top"/>
    </xf>
    <xf numFmtId="0" fontId="0" fillId="0" borderId="14" xfId="0" applyBorder="1" applyAlignment="1">
      <alignment horizontal="right" vertical="top"/>
    </xf>
    <xf numFmtId="0" fontId="10" fillId="0" borderId="14" xfId="0" applyFont="1" applyBorder="1" applyAlignment="1">
      <alignment horizontal="right" vertical="top"/>
    </xf>
    <xf numFmtId="164" fontId="0" fillId="0" borderId="14" xfId="1" applyNumberFormat="1" applyFont="1" applyBorder="1" applyAlignment="1">
      <alignment horizontal="right" vertical="top"/>
    </xf>
    <xf numFmtId="0" fontId="0" fillId="0" borderId="14" xfId="0" applyBorder="1" applyAlignment="1">
      <alignment horizontal="right" vertical="top" wrapText="1"/>
    </xf>
    <xf numFmtId="0" fontId="10" fillId="0" borderId="14" xfId="0" applyFont="1" applyBorder="1" applyAlignment="1">
      <alignment horizontal="right" vertical="top" wrapText="1"/>
    </xf>
    <xf numFmtId="1" fontId="0" fillId="0" borderId="0" xfId="0" applyNumberFormat="1" applyAlignment="1">
      <alignment horizontal="right" vertical="top"/>
    </xf>
    <xf numFmtId="0" fontId="1" fillId="7" borderId="0" xfId="0" applyFont="1" applyFill="1" applyAlignment="1">
      <alignment vertical="center"/>
    </xf>
    <xf numFmtId="0" fontId="1" fillId="7" borderId="0" xfId="0" applyFont="1" applyFill="1" applyAlignment="1">
      <alignment horizontal="left" vertical="center" wrapText="1"/>
    </xf>
    <xf numFmtId="0" fontId="1" fillId="7" borderId="0" xfId="0" applyFont="1" applyFill="1" applyAlignment="1">
      <alignment vertical="center" wrapText="1"/>
    </xf>
    <xf numFmtId="2" fontId="0" fillId="0" borderId="0" xfId="0" applyNumberFormat="1" applyAlignment="1">
      <alignment horizontal="right" vertical="top" wrapText="1"/>
    </xf>
    <xf numFmtId="0" fontId="10" fillId="0" borderId="0" xfId="0" applyFont="1" applyAlignment="1">
      <alignment horizontal="right" vertical="top"/>
    </xf>
    <xf numFmtId="0" fontId="0" fillId="0" borderId="0" xfId="0" applyAlignment="1">
      <alignment horizontal="right" vertical="top" wrapText="1"/>
    </xf>
    <xf numFmtId="0" fontId="0" fillId="0" borderId="0" xfId="0" applyAlignment="1">
      <alignment horizontal="right" vertical="top"/>
    </xf>
    <xf numFmtId="2" fontId="10" fillId="0" borderId="14" xfId="0" applyNumberFormat="1" applyFont="1" applyBorder="1" applyAlignment="1">
      <alignment horizontal="right" vertical="top"/>
    </xf>
    <xf numFmtId="2" fontId="0" fillId="0" borderId="14" xfId="0" applyNumberFormat="1" applyBorder="1" applyAlignment="1">
      <alignment horizontal="right" vertical="top"/>
    </xf>
    <xf numFmtId="9" fontId="0" fillId="0" borderId="0" xfId="0" applyNumberFormat="1" applyAlignment="1">
      <alignment horizontal="right" vertical="top"/>
    </xf>
    <xf numFmtId="0" fontId="0" fillId="0" borderId="21" xfId="0" applyBorder="1" applyAlignment="1">
      <alignment horizontal="justify" vertical="center" wrapText="1"/>
    </xf>
    <xf numFmtId="0" fontId="10" fillId="0" borderId="17" xfId="0" applyFont="1" applyBorder="1" applyAlignment="1">
      <alignment horizontal="justify" vertical="center" wrapText="1"/>
    </xf>
    <xf numFmtId="2" fontId="10" fillId="0" borderId="14" xfId="0" applyNumberFormat="1" applyFont="1" applyBorder="1" applyAlignment="1">
      <alignment horizontal="right" vertical="top" wrapText="1"/>
    </xf>
    <xf numFmtId="164" fontId="10" fillId="0" borderId="14" xfId="1" applyNumberFormat="1" applyFont="1" applyBorder="1" applyAlignment="1">
      <alignment horizontal="right" vertical="top"/>
    </xf>
    <xf numFmtId="0" fontId="0" fillId="0" borderId="17" xfId="0" applyBorder="1" applyAlignment="1">
      <alignment vertical="top" wrapText="1"/>
    </xf>
    <xf numFmtId="0" fontId="10" fillId="0" borderId="17" xfId="0" applyFont="1" applyBorder="1" applyAlignment="1">
      <alignment vertical="top" wrapText="1"/>
    </xf>
    <xf numFmtId="0" fontId="0" fillId="0" borderId="21" xfId="0" applyBorder="1" applyAlignment="1">
      <alignment vertical="top" wrapText="1"/>
    </xf>
    <xf numFmtId="0" fontId="0" fillId="0" borderId="0" xfId="0" applyAlignment="1">
      <alignment vertical="top"/>
    </xf>
    <xf numFmtId="0" fontId="0" fillId="0" borderId="0" xfId="0" applyAlignment="1">
      <alignment horizontal="right" wrapText="1"/>
    </xf>
    <xf numFmtId="0" fontId="0" fillId="0" borderId="14" xfId="0" applyBorder="1" applyAlignment="1">
      <alignment vertical="top"/>
    </xf>
    <xf numFmtId="0" fontId="0" fillId="0" borderId="16" xfId="0" applyBorder="1" applyAlignment="1">
      <alignment horizontal="right" vertical="top" wrapText="1"/>
    </xf>
    <xf numFmtId="0" fontId="0" fillId="0" borderId="16" xfId="0" applyBorder="1" applyAlignment="1">
      <alignment horizontal="right" vertical="top"/>
    </xf>
    <xf numFmtId="165" fontId="0" fillId="0" borderId="14" xfId="0" applyNumberFormat="1" applyBorder="1" applyAlignment="1">
      <alignment horizontal="right" vertical="top"/>
    </xf>
    <xf numFmtId="165" fontId="10" fillId="0" borderId="14" xfId="0" applyNumberFormat="1" applyFont="1" applyBorder="1" applyAlignment="1">
      <alignment horizontal="right" vertical="top"/>
    </xf>
    <xf numFmtId="165" fontId="0" fillId="0" borderId="16" xfId="0" applyNumberFormat="1" applyBorder="1" applyAlignment="1">
      <alignment horizontal="right" vertical="top"/>
    </xf>
    <xf numFmtId="165" fontId="0" fillId="0" borderId="0" xfId="0" applyNumberFormat="1" applyAlignment="1">
      <alignment horizontal="right" vertical="top"/>
    </xf>
    <xf numFmtId="2" fontId="0" fillId="0" borderId="0" xfId="0" applyNumberFormat="1" applyAlignment="1">
      <alignment wrapText="1"/>
    </xf>
    <xf numFmtId="1" fontId="0" fillId="0" borderId="0" xfId="0" applyNumberFormat="1"/>
    <xf numFmtId="165" fontId="0" fillId="0" borderId="0" xfId="0" applyNumberFormat="1" applyAlignment="1">
      <alignment wrapText="1"/>
    </xf>
    <xf numFmtId="9" fontId="0" fillId="0" borderId="0" xfId="1" applyFont="1" applyAlignment="1">
      <alignment horizontal="right" vertical="top"/>
    </xf>
    <xf numFmtId="0" fontId="0" fillId="0" borderId="14" xfId="0" applyBorder="1" applyAlignment="1">
      <alignment horizontal="right" wrapText="1"/>
    </xf>
    <xf numFmtId="165" fontId="0" fillId="0" borderId="16" xfId="0" applyNumberFormat="1" applyBorder="1" applyAlignment="1">
      <alignment horizontal="right" vertical="top" wrapText="1"/>
    </xf>
    <xf numFmtId="1" fontId="0" fillId="0" borderId="14" xfId="0" applyNumberFormat="1" applyBorder="1" applyAlignment="1">
      <alignment horizontal="right" vertical="top"/>
    </xf>
    <xf numFmtId="165" fontId="0" fillId="0" borderId="14" xfId="0" applyNumberFormat="1" applyBorder="1" applyAlignment="1">
      <alignment horizontal="right" vertical="top" wrapText="1"/>
    </xf>
    <xf numFmtId="3" fontId="0" fillId="0" borderId="0" xfId="1" quotePrefix="1" applyNumberFormat="1" applyFont="1"/>
    <xf numFmtId="0" fontId="1" fillId="8" borderId="0" xfId="0" applyFont="1" applyFill="1" applyAlignment="1">
      <alignment vertical="center" wrapText="1"/>
    </xf>
    <xf numFmtId="0" fontId="18" fillId="0" borderId="14" xfId="0" applyFont="1" applyBorder="1" applyAlignment="1">
      <alignment horizontal="right" vertical="top"/>
    </xf>
    <xf numFmtId="0" fontId="18" fillId="0" borderId="14" xfId="0" applyFont="1" applyBorder="1" applyAlignment="1">
      <alignment vertical="top" wrapText="1"/>
    </xf>
    <xf numFmtId="0" fontId="18" fillId="0" borderId="14" xfId="0" applyFont="1" applyBorder="1" applyAlignment="1">
      <alignment horizontal="left" vertical="top" wrapText="1"/>
    </xf>
    <xf numFmtId="1" fontId="18" fillId="0" borderId="14" xfId="0" applyNumberFormat="1" applyFont="1" applyBorder="1" applyAlignment="1">
      <alignment horizontal="right" vertical="top" wrapText="1"/>
    </xf>
    <xf numFmtId="164" fontId="18" fillId="0" borderId="14" xfId="1" applyNumberFormat="1" applyFont="1" applyBorder="1" applyAlignment="1">
      <alignment horizontal="right" vertical="top"/>
    </xf>
    <xf numFmtId="9" fontId="18" fillId="0" borderId="14" xfId="1" applyFont="1" applyBorder="1" applyAlignment="1">
      <alignment horizontal="right" vertical="top"/>
    </xf>
    <xf numFmtId="0" fontId="19" fillId="0" borderId="14" xfId="0" applyFont="1" applyBorder="1" applyAlignment="1">
      <alignment horizontal="right" vertical="top"/>
    </xf>
    <xf numFmtId="0" fontId="19" fillId="0" borderId="14" xfId="0" applyFont="1" applyBorder="1" applyAlignment="1">
      <alignment vertical="top" wrapText="1"/>
    </xf>
    <xf numFmtId="0" fontId="19" fillId="0" borderId="14" xfId="0" applyFont="1" applyBorder="1" applyAlignment="1">
      <alignment horizontal="left" vertical="top" wrapText="1"/>
    </xf>
    <xf numFmtId="1" fontId="19" fillId="0" borderId="14" xfId="0" applyNumberFormat="1" applyFont="1" applyBorder="1" applyAlignment="1">
      <alignment horizontal="right" vertical="top" wrapText="1"/>
    </xf>
    <xf numFmtId="0" fontId="19" fillId="0" borderId="16" xfId="0" applyFont="1" applyBorder="1" applyAlignment="1">
      <alignment vertical="top" wrapText="1"/>
    </xf>
    <xf numFmtId="0" fontId="18" fillId="0" borderId="16" xfId="0" applyFont="1" applyBorder="1" applyAlignment="1">
      <alignment horizontal="left" vertical="top" wrapText="1"/>
    </xf>
    <xf numFmtId="1" fontId="18" fillId="0" borderId="16" xfId="0" applyNumberFormat="1" applyFont="1" applyBorder="1" applyAlignment="1">
      <alignment horizontal="right" vertical="top" wrapText="1"/>
    </xf>
    <xf numFmtId="0" fontId="18" fillId="0" borderId="0" xfId="0" applyFont="1" applyAlignment="1">
      <alignment vertical="top" wrapText="1"/>
    </xf>
    <xf numFmtId="0" fontId="18" fillId="0" borderId="0" xfId="0" applyFont="1" applyAlignment="1">
      <alignment horizontal="left" vertical="top" wrapText="1"/>
    </xf>
    <xf numFmtId="1" fontId="18" fillId="0" borderId="0" xfId="0" applyNumberFormat="1" applyFont="1" applyAlignment="1">
      <alignment horizontal="right" vertical="top"/>
    </xf>
    <xf numFmtId="0" fontId="19" fillId="0" borderId="0" xfId="0" applyFont="1" applyAlignment="1">
      <alignment horizontal="right" vertical="top"/>
    </xf>
    <xf numFmtId="0" fontId="18" fillId="0" borderId="0" xfId="0" applyFont="1"/>
    <xf numFmtId="1" fontId="18" fillId="0" borderId="0" xfId="0" applyNumberFormat="1" applyFont="1" applyAlignment="1">
      <alignment horizontal="right" vertical="top" wrapText="1"/>
    </xf>
    <xf numFmtId="0" fontId="18" fillId="0" borderId="0" xfId="0" applyFont="1" applyAlignment="1">
      <alignment horizontal="right" vertical="top" wrapText="1"/>
    </xf>
    <xf numFmtId="0" fontId="18" fillId="0" borderId="0" xfId="0" applyFont="1" applyAlignment="1">
      <alignment horizontal="right" vertical="top"/>
    </xf>
    <xf numFmtId="9" fontId="18" fillId="0" borderId="0" xfId="0" applyNumberFormat="1" applyFont="1" applyAlignment="1">
      <alignment horizontal="right" vertical="top"/>
    </xf>
    <xf numFmtId="165" fontId="18" fillId="0" borderId="14" xfId="0" applyNumberFormat="1" applyFont="1" applyBorder="1" applyAlignment="1">
      <alignment horizontal="right" vertical="top" wrapText="1"/>
    </xf>
    <xf numFmtId="165" fontId="18" fillId="0" borderId="0" xfId="0" applyNumberFormat="1" applyFont="1" applyAlignment="1">
      <alignment horizontal="right" vertical="top" wrapText="1"/>
    </xf>
    <xf numFmtId="0" fontId="20" fillId="0" borderId="16" xfId="0" applyFont="1" applyBorder="1" applyAlignment="1">
      <alignment horizontal="right" wrapText="1"/>
    </xf>
    <xf numFmtId="0" fontId="20" fillId="0" borderId="14" xfId="0" applyFont="1" applyBorder="1" applyAlignment="1">
      <alignment wrapText="1"/>
    </xf>
    <xf numFmtId="0" fontId="20" fillId="0" borderId="0" xfId="0" applyFont="1" applyAlignment="1">
      <alignment horizontal="right" vertical="top"/>
    </xf>
    <xf numFmtId="0" fontId="20" fillId="0" borderId="14" xfId="0" applyFont="1" applyBorder="1" applyAlignment="1">
      <alignment horizontal="right" vertical="top" wrapText="1"/>
    </xf>
    <xf numFmtId="2" fontId="20" fillId="0" borderId="14" xfId="0" applyNumberFormat="1" applyFont="1" applyBorder="1" applyAlignment="1">
      <alignment horizontal="right" vertical="top" wrapText="1"/>
    </xf>
    <xf numFmtId="9" fontId="20" fillId="0" borderId="14" xfId="1" applyFont="1" applyBorder="1" applyAlignment="1">
      <alignment horizontal="right" vertical="top"/>
    </xf>
    <xf numFmtId="1" fontId="20" fillId="0" borderId="14" xfId="0" applyNumberFormat="1" applyFont="1" applyBorder="1" applyAlignment="1">
      <alignment horizontal="right" vertical="top"/>
    </xf>
    <xf numFmtId="0" fontId="20" fillId="0" borderId="14" xfId="0" applyFont="1" applyBorder="1" applyAlignment="1">
      <alignment horizontal="right" vertical="top"/>
    </xf>
    <xf numFmtId="0" fontId="20" fillId="0" borderId="16" xfId="0" applyFont="1" applyBorder="1" applyAlignment="1">
      <alignment wrapText="1"/>
    </xf>
    <xf numFmtId="0" fontId="20" fillId="0" borderId="21" xfId="0" applyFont="1" applyBorder="1" applyAlignment="1">
      <alignment horizontal="right" wrapText="1"/>
    </xf>
    <xf numFmtId="0" fontId="20" fillId="0" borderId="0" xfId="0" applyFont="1" applyAlignment="1">
      <alignment horizontal="right"/>
    </xf>
    <xf numFmtId="0" fontId="20" fillId="0" borderId="0" xfId="0" applyFont="1" applyAlignment="1">
      <alignment wrapText="1"/>
    </xf>
    <xf numFmtId="2" fontId="20" fillId="0" borderId="0" xfId="0" applyNumberFormat="1" applyFont="1" applyAlignment="1">
      <alignment wrapText="1"/>
    </xf>
    <xf numFmtId="0" fontId="20" fillId="0" borderId="0" xfId="0" applyFont="1"/>
    <xf numFmtId="1" fontId="20" fillId="0" borderId="0" xfId="0" applyNumberFormat="1" applyFont="1"/>
    <xf numFmtId="9" fontId="20" fillId="0" borderId="0" xfId="0" applyNumberFormat="1" applyFont="1"/>
    <xf numFmtId="0" fontId="1" fillId="8" borderId="20" xfId="0" applyFont="1" applyFill="1" applyBorder="1" applyAlignment="1">
      <alignment vertical="center" wrapText="1"/>
    </xf>
    <xf numFmtId="0" fontId="0" fillId="0" borderId="14" xfId="0" applyBorder="1" applyAlignment="1">
      <alignment horizontal="right"/>
    </xf>
    <xf numFmtId="9" fontId="10" fillId="0" borderId="14" xfId="1" applyFont="1" applyBorder="1" applyAlignment="1">
      <alignment horizontal="right" vertical="top"/>
    </xf>
    <xf numFmtId="9" fontId="0" fillId="0" borderId="0" xfId="0" applyNumberFormat="1" applyAlignment="1">
      <alignment horizontal="right"/>
    </xf>
    <xf numFmtId="0" fontId="10" fillId="0" borderId="14" xfId="0" applyFont="1" applyBorder="1" applyAlignment="1">
      <alignment horizontal="right"/>
    </xf>
    <xf numFmtId="0" fontId="10" fillId="0" borderId="0" xfId="0" applyFont="1" applyAlignment="1">
      <alignment horizontal="left" vertical="top" wrapText="1"/>
    </xf>
    <xf numFmtId="166" fontId="0" fillId="0" borderId="0" xfId="0" applyNumberFormat="1"/>
    <xf numFmtId="0" fontId="8" fillId="0" borderId="0" xfId="0" applyFont="1" applyAlignment="1">
      <alignment horizontal="center"/>
    </xf>
    <xf numFmtId="0" fontId="1" fillId="2" borderId="0" xfId="0" applyFont="1" applyFill="1" applyAlignment="1">
      <alignment horizontal="center"/>
    </xf>
    <xf numFmtId="0" fontId="8" fillId="0" borderId="15" xfId="0" applyFont="1" applyBorder="1" applyAlignment="1">
      <alignment horizontal="center" vertical="center"/>
    </xf>
    <xf numFmtId="0" fontId="0" fillId="0" borderId="2" xfId="0" applyBorder="1" applyAlignment="1">
      <alignment horizontal="center" vertical="center"/>
    </xf>
    <xf numFmtId="0" fontId="0" fillId="0" borderId="4" xfId="0" applyBorder="1" applyAlignment="1">
      <alignment horizontal="center" vertical="center"/>
    </xf>
    <xf numFmtId="0" fontId="8" fillId="0" borderId="22" xfId="0" applyFont="1" applyBorder="1" applyAlignment="1">
      <alignment horizontal="center" vertical="center"/>
    </xf>
    <xf numFmtId="0" fontId="8" fillId="0" borderId="23" xfId="0" applyFont="1" applyBorder="1" applyAlignment="1">
      <alignment horizontal="center" vertical="center"/>
    </xf>
    <xf numFmtId="0" fontId="8" fillId="0" borderId="24" xfId="0" applyFont="1" applyBorder="1" applyAlignment="1">
      <alignment horizontal="center" vertical="center"/>
    </xf>
    <xf numFmtId="0" fontId="3" fillId="0" borderId="11" xfId="0" applyFont="1" applyBorder="1" applyAlignment="1">
      <alignment horizontal="center"/>
    </xf>
    <xf numFmtId="0" fontId="3" fillId="0" borderId="12" xfId="0" applyFont="1" applyBorder="1" applyAlignment="1">
      <alignment horizontal="center"/>
    </xf>
    <xf numFmtId="0" fontId="8" fillId="0" borderId="0" xfId="0" applyFont="1" applyAlignment="1"/>
  </cellXfs>
  <cellStyles count="4">
    <cellStyle name="Hyperlink" xfId="3" builtinId="8"/>
    <cellStyle name="Input" xfId="2" builtinId="20"/>
    <cellStyle name="Normal" xfId="0" builtinId="0"/>
    <cellStyle name="Percent" xfId="1" builtinId="5"/>
  </cellStyles>
  <dxfs count="307">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font>
        <b val="0"/>
        <i val="0"/>
        <strike val="0"/>
        <condense val="0"/>
        <extend val="0"/>
        <outline val="0"/>
        <shadow val="0"/>
        <u val="none"/>
        <vertAlign val="baseline"/>
        <sz val="14"/>
        <color theme="1"/>
        <name val="Calibri"/>
        <family val="2"/>
        <scheme val="minor"/>
      </font>
      <alignment horizontal="right" vertical="top" textRotation="0" indent="0" justifyLastLine="0" shrinkToFit="0" readingOrder="0"/>
      <border diagonalUp="0" diagonalDown="0" outline="0">
        <left/>
        <right/>
        <top style="thin">
          <color theme="1"/>
        </top>
        <bottom/>
      </border>
    </dxf>
    <dxf>
      <font>
        <b val="0"/>
        <i val="0"/>
        <strike val="0"/>
        <condense val="0"/>
        <extend val="0"/>
        <outline val="0"/>
        <shadow val="0"/>
        <u val="none"/>
        <vertAlign val="baseline"/>
        <sz val="14"/>
        <color theme="1"/>
        <name val="Calibri"/>
        <family val="2"/>
        <scheme val="minor"/>
      </font>
      <numFmt numFmtId="13" formatCode="0%"/>
    </dxf>
    <dxf>
      <font>
        <strike val="0"/>
        <outline val="0"/>
        <shadow val="0"/>
        <u val="none"/>
        <vertAlign val="baseline"/>
        <sz val="14"/>
        <color theme="1"/>
        <name val="Calibri"/>
        <family val="2"/>
        <scheme val="minor"/>
      </font>
      <numFmt numFmtId="1" formatCode="0"/>
      <alignment horizontal="right" vertical="top" textRotation="0" indent="0" justifyLastLine="0" shrinkToFit="0" readingOrder="0"/>
      <border diagonalUp="0" diagonalDown="0" outline="0">
        <left/>
        <right/>
        <top style="thin">
          <color theme="1"/>
        </top>
        <bottom/>
      </border>
    </dxf>
    <dxf>
      <font>
        <b val="0"/>
        <i val="0"/>
        <strike val="0"/>
        <condense val="0"/>
        <extend val="0"/>
        <outline val="0"/>
        <shadow val="0"/>
        <u val="none"/>
        <vertAlign val="baseline"/>
        <sz val="14"/>
        <color theme="1"/>
        <name val="Calibri"/>
        <family val="2"/>
        <scheme val="minor"/>
      </font>
      <numFmt numFmtId="1" formatCode="0"/>
    </dxf>
    <dxf>
      <font>
        <strike val="0"/>
        <outline val="0"/>
        <shadow val="0"/>
        <u val="none"/>
        <vertAlign val="baseline"/>
        <sz val="14"/>
        <color theme="1"/>
        <name val="Calibri"/>
        <family val="2"/>
        <scheme val="minor"/>
      </font>
      <alignment horizontal="right" vertical="top" textRotation="0" indent="0" justifyLastLine="0" shrinkToFit="0" readingOrder="0"/>
      <border diagonalUp="0" diagonalDown="0" outline="0">
        <left/>
        <right/>
        <top style="thin">
          <color theme="1"/>
        </top>
        <bottom/>
      </border>
    </dxf>
    <dxf>
      <font>
        <b val="0"/>
        <i val="0"/>
        <strike val="0"/>
        <condense val="0"/>
        <extend val="0"/>
        <outline val="0"/>
        <shadow val="0"/>
        <u val="none"/>
        <vertAlign val="baseline"/>
        <sz val="14"/>
        <color theme="1"/>
        <name val="Calibri"/>
        <family val="2"/>
        <scheme val="minor"/>
      </font>
    </dxf>
    <dxf>
      <font>
        <strike val="0"/>
        <outline val="0"/>
        <shadow val="0"/>
        <u val="none"/>
        <vertAlign val="baseline"/>
        <sz val="14"/>
        <color theme="1"/>
        <name val="Calibri"/>
        <family val="2"/>
        <scheme val="minor"/>
      </font>
      <alignment horizontal="right" vertical="top" textRotation="0" indent="0" justifyLastLine="0" shrinkToFit="0" readingOrder="0"/>
      <border diagonalUp="0" diagonalDown="0" outline="0">
        <left/>
        <right/>
        <top style="thin">
          <color theme="1"/>
        </top>
        <bottom/>
      </border>
    </dxf>
    <dxf>
      <font>
        <b val="0"/>
        <i val="0"/>
        <strike val="0"/>
        <condense val="0"/>
        <extend val="0"/>
        <outline val="0"/>
        <shadow val="0"/>
        <u val="none"/>
        <vertAlign val="baseline"/>
        <sz val="14"/>
        <color theme="1"/>
        <name val="Calibri"/>
        <family val="2"/>
        <scheme val="minor"/>
      </font>
    </dxf>
    <dxf>
      <font>
        <strike val="0"/>
        <outline val="0"/>
        <shadow val="0"/>
        <u val="none"/>
        <vertAlign val="baseline"/>
        <sz val="14"/>
        <color theme="1"/>
        <name val="Calibri"/>
        <family val="2"/>
        <scheme val="minor"/>
      </font>
      <alignment horizontal="right" vertical="top" textRotation="0" indent="0" justifyLastLine="0" shrinkToFit="0" readingOrder="0"/>
      <border diagonalUp="0" diagonalDown="0" outline="0">
        <left/>
        <right/>
        <top style="thin">
          <color theme="1"/>
        </top>
        <bottom/>
      </border>
    </dxf>
    <dxf>
      <font>
        <b val="0"/>
        <i val="0"/>
        <strike val="0"/>
        <condense val="0"/>
        <extend val="0"/>
        <outline val="0"/>
        <shadow val="0"/>
        <u val="none"/>
        <vertAlign val="baseline"/>
        <sz val="14"/>
        <color theme="1"/>
        <name val="Calibri"/>
        <family val="2"/>
        <scheme val="minor"/>
      </font>
    </dxf>
    <dxf>
      <font>
        <b val="0"/>
        <i val="0"/>
        <strike val="0"/>
        <condense val="0"/>
        <extend val="0"/>
        <outline val="0"/>
        <shadow val="0"/>
        <u val="none"/>
        <vertAlign val="baseline"/>
        <sz val="14"/>
        <color theme="1"/>
        <name val="Calibri"/>
        <family val="2"/>
        <scheme val="minor"/>
      </font>
      <numFmt numFmtId="13" formatCode="0%"/>
      <alignment horizontal="right" vertical="top" textRotation="0" indent="0" justifyLastLine="0" shrinkToFit="0" readingOrder="0"/>
      <border diagonalUp="0" diagonalDown="0">
        <left/>
        <right/>
        <top style="thin">
          <color theme="1"/>
        </top>
        <bottom/>
      </border>
    </dxf>
    <dxf>
      <font>
        <b val="0"/>
        <i val="0"/>
        <strike val="0"/>
        <condense val="0"/>
        <extend val="0"/>
        <outline val="0"/>
        <shadow val="0"/>
        <u val="none"/>
        <vertAlign val="baseline"/>
        <sz val="14"/>
        <color theme="1"/>
        <name val="Calibri"/>
        <family val="2"/>
        <scheme val="minor"/>
      </font>
    </dxf>
    <dxf>
      <font>
        <strike val="0"/>
        <outline val="0"/>
        <shadow val="0"/>
        <u val="none"/>
        <vertAlign val="baseline"/>
        <sz val="14"/>
        <color theme="1"/>
        <name val="Calibri"/>
        <family val="2"/>
        <scheme val="minor"/>
      </font>
      <numFmt numFmtId="2" formatCode="0.00"/>
      <alignment horizontal="right" vertical="top" textRotation="0" wrapText="1" indent="0" justifyLastLine="0" shrinkToFit="0" readingOrder="0"/>
      <border diagonalUp="0" diagonalDown="0" outline="0">
        <left/>
        <right/>
        <top style="thin">
          <color theme="1"/>
        </top>
        <bottom/>
      </border>
    </dxf>
    <dxf>
      <font>
        <b val="0"/>
        <i val="0"/>
        <strike val="0"/>
        <condense val="0"/>
        <extend val="0"/>
        <outline val="0"/>
        <shadow val="0"/>
        <u val="none"/>
        <vertAlign val="baseline"/>
        <sz val="14"/>
        <color theme="1"/>
        <name val="Calibri"/>
        <family val="2"/>
        <scheme val="minor"/>
      </font>
      <numFmt numFmtId="2" formatCode="0.00"/>
      <alignment horizontal="general" vertical="bottom" textRotation="0" wrapText="1" indent="0" justifyLastLine="0" shrinkToFit="0" readingOrder="0"/>
    </dxf>
    <dxf>
      <font>
        <strike val="0"/>
        <outline val="0"/>
        <shadow val="0"/>
        <u val="none"/>
        <vertAlign val="baseline"/>
        <sz val="14"/>
        <color theme="1"/>
        <name val="Calibri"/>
        <family val="2"/>
        <scheme val="minor"/>
      </font>
      <numFmt numFmtId="2" formatCode="0.00"/>
      <alignment horizontal="right" vertical="top" textRotation="0" wrapText="1" indent="0" justifyLastLine="0" shrinkToFit="0" readingOrder="0"/>
      <border diagonalUp="0" diagonalDown="0" outline="0">
        <left/>
        <right/>
        <top style="thin">
          <color theme="1"/>
        </top>
        <bottom/>
      </border>
    </dxf>
    <dxf>
      <font>
        <b val="0"/>
        <i val="0"/>
        <strike val="0"/>
        <condense val="0"/>
        <extend val="0"/>
        <outline val="0"/>
        <shadow val="0"/>
        <u val="none"/>
        <vertAlign val="baseline"/>
        <sz val="14"/>
        <color theme="1"/>
        <name val="Calibri"/>
        <family val="2"/>
        <scheme val="minor"/>
      </font>
      <numFmt numFmtId="2" formatCode="0.00"/>
      <alignment horizontal="general" vertical="bottom" textRotation="0" wrapText="1" indent="0" justifyLastLine="0" shrinkToFit="0" readingOrder="0"/>
    </dxf>
    <dxf>
      <font>
        <strike val="0"/>
        <outline val="0"/>
        <shadow val="0"/>
        <u val="none"/>
        <vertAlign val="baseline"/>
        <sz val="14"/>
        <color theme="1"/>
        <name val="Calibri"/>
        <family val="2"/>
        <scheme val="minor"/>
      </font>
      <alignment horizontal="right" vertical="top" textRotation="0" wrapText="1" indent="0" justifyLastLine="0" shrinkToFit="0" readingOrder="0"/>
      <border diagonalUp="0" diagonalDown="0" outline="0">
        <left/>
        <right/>
        <top style="thin">
          <color theme="1"/>
        </top>
        <bottom/>
      </border>
    </dxf>
    <dxf>
      <font>
        <b val="0"/>
        <i val="0"/>
        <strike val="0"/>
        <condense val="0"/>
        <extend val="0"/>
        <outline val="0"/>
        <shadow val="0"/>
        <u val="none"/>
        <vertAlign val="baseline"/>
        <sz val="14"/>
        <color theme="1"/>
        <name val="Calibri"/>
        <family val="2"/>
        <scheme val="minor"/>
      </font>
      <alignment horizontal="general" vertical="bottom" textRotation="0" wrapText="1" indent="0" justifyLastLine="0" shrinkToFit="0" readingOrder="0"/>
    </dxf>
    <dxf>
      <font>
        <strike val="0"/>
        <outline val="0"/>
        <shadow val="0"/>
        <u val="none"/>
        <vertAlign val="baseline"/>
        <sz val="14"/>
        <color theme="1"/>
        <name val="Calibri"/>
        <family val="2"/>
        <scheme val="minor"/>
      </font>
      <alignment horizontal="right" vertical="top" textRotation="0" indent="0" justifyLastLine="0" shrinkToFit="0" readingOrder="0"/>
    </dxf>
    <dxf>
      <font>
        <b val="0"/>
        <i val="0"/>
        <strike val="0"/>
        <condense val="0"/>
        <extend val="0"/>
        <outline val="0"/>
        <shadow val="0"/>
        <u val="none"/>
        <vertAlign val="baseline"/>
        <sz val="14"/>
        <color theme="1"/>
        <name val="Calibri"/>
        <family val="2"/>
        <scheme val="minor"/>
      </font>
      <alignment horizontal="general" vertical="bottom" textRotation="0" wrapText="1" indent="0" justifyLastLine="0" shrinkToFit="0" readingOrder="0"/>
    </dxf>
    <dxf>
      <font>
        <strike val="0"/>
        <outline val="0"/>
        <shadow val="0"/>
        <u val="none"/>
        <vertAlign val="baseline"/>
        <sz val="14"/>
        <color theme="1"/>
        <name val="Calibri"/>
        <family val="2"/>
        <scheme val="minor"/>
      </font>
      <alignment horizontal="general" vertical="bottom" textRotation="0" wrapText="1" indent="0" justifyLastLine="0" shrinkToFit="0" readingOrder="0"/>
      <border diagonalUp="0" diagonalDown="0" outline="0">
        <left/>
        <right/>
        <top style="thin">
          <color theme="1"/>
        </top>
        <bottom/>
      </border>
    </dxf>
    <dxf>
      <font>
        <b val="0"/>
        <i val="0"/>
        <strike val="0"/>
        <condense val="0"/>
        <extend val="0"/>
        <outline val="0"/>
        <shadow val="0"/>
        <u val="none"/>
        <vertAlign val="baseline"/>
        <sz val="14"/>
        <color theme="1"/>
        <name val="Calibri"/>
        <family val="2"/>
        <scheme val="minor"/>
      </font>
      <alignment horizontal="general" vertical="bottom" textRotation="0" wrapText="1" indent="0" justifyLastLine="0" shrinkToFit="0" readingOrder="0"/>
    </dxf>
    <dxf>
      <font>
        <strike val="0"/>
        <outline val="0"/>
        <shadow val="0"/>
        <u val="none"/>
        <vertAlign val="baseline"/>
        <sz val="14"/>
        <color theme="1"/>
        <name val="Calibri"/>
        <family val="2"/>
        <scheme val="minor"/>
      </font>
      <alignment horizontal="general" vertical="bottom" textRotation="0" wrapText="1" indent="0" justifyLastLine="0" shrinkToFit="0" readingOrder="0"/>
      <border diagonalUp="0" diagonalDown="0" outline="0">
        <left/>
        <right/>
        <top style="thin">
          <color theme="1"/>
        </top>
        <bottom/>
      </border>
    </dxf>
    <dxf>
      <font>
        <b val="0"/>
        <i val="0"/>
        <strike val="0"/>
        <condense val="0"/>
        <extend val="0"/>
        <outline val="0"/>
        <shadow val="0"/>
        <u val="none"/>
        <vertAlign val="baseline"/>
        <sz val="14"/>
        <color theme="1"/>
        <name val="Calibri"/>
        <family val="2"/>
        <scheme val="minor"/>
      </font>
      <alignment horizontal="general" vertical="bottom" textRotation="0" wrapText="1" indent="0" justifyLastLine="0" shrinkToFit="0" readingOrder="0"/>
    </dxf>
    <dxf>
      <font>
        <strike val="0"/>
        <outline val="0"/>
        <shadow val="0"/>
        <u val="none"/>
        <vertAlign val="baseline"/>
        <sz val="14"/>
        <color theme="1"/>
        <name val="Calibri"/>
        <family val="2"/>
        <scheme val="minor"/>
      </font>
      <alignment horizontal="right" vertical="bottom" textRotation="0" wrapText="0" indent="0" justifyLastLine="0" shrinkToFit="0" readingOrder="0"/>
      <border diagonalUp="0" diagonalDown="0" outline="0">
        <left/>
        <right/>
        <top style="thin">
          <color theme="1"/>
        </top>
        <bottom/>
      </border>
    </dxf>
    <dxf>
      <font>
        <b val="0"/>
        <i val="0"/>
        <strike val="0"/>
        <condense val="0"/>
        <extend val="0"/>
        <outline val="0"/>
        <shadow val="0"/>
        <u val="none"/>
        <vertAlign val="baseline"/>
        <sz val="14"/>
        <color theme="1"/>
        <name val="Calibri"/>
        <family val="2"/>
        <scheme val="minor"/>
      </font>
      <alignment horizontal="right" vertical="bottom" textRotation="0" wrapText="0" indent="0" justifyLastLine="0" shrinkToFit="0" readingOrder="0"/>
    </dxf>
    <dxf>
      <border outline="0">
        <left style="thin">
          <color theme="1"/>
        </left>
        <top style="thin">
          <color theme="1"/>
        </top>
      </border>
    </dxf>
    <dxf>
      <font>
        <b/>
        <i val="0"/>
        <strike val="0"/>
        <condense val="0"/>
        <extend val="0"/>
        <outline val="0"/>
        <shadow val="0"/>
        <u val="none"/>
        <vertAlign val="baseline"/>
        <sz val="11"/>
        <color theme="0"/>
        <name val="Calibri"/>
        <family val="2"/>
        <scheme val="minor"/>
      </font>
      <fill>
        <patternFill patternType="solid">
          <fgColor theme="1"/>
          <bgColor theme="1"/>
        </patternFill>
      </fill>
      <alignment horizontal="general" vertical="center" textRotation="0" wrapText="1" indent="0" justifyLastLine="0" shrinkToFit="0" readingOrder="0"/>
    </dxf>
    <dxf>
      <font>
        <b val="0"/>
        <i val="0"/>
        <strike val="0"/>
        <condense val="0"/>
        <extend val="0"/>
        <outline val="0"/>
        <shadow val="0"/>
        <u val="none"/>
        <vertAlign val="baseline"/>
        <sz val="14"/>
        <color theme="1"/>
        <name val="Calibri"/>
        <family val="2"/>
        <scheme val="minor"/>
      </font>
      <numFmt numFmtId="13" formatCode="0%"/>
      <alignment horizontal="right" vertical="top" textRotation="0" indent="0" justifyLastLine="0" shrinkToFit="0" readingOrder="0"/>
      <border diagonalUp="0" diagonalDown="0">
        <left/>
        <right/>
        <top style="thin">
          <color theme="1"/>
        </top>
        <bottom/>
      </border>
    </dxf>
    <dxf>
      <font>
        <b val="0"/>
        <i val="0"/>
        <strike val="0"/>
        <condense val="0"/>
        <extend val="0"/>
        <outline val="0"/>
        <shadow val="0"/>
        <u val="none"/>
        <vertAlign val="baseline"/>
        <sz val="14"/>
        <color theme="1"/>
        <name val="Calibri"/>
        <family val="2"/>
        <scheme val="minor"/>
      </font>
      <numFmt numFmtId="13" formatCode="0%"/>
    </dxf>
    <dxf>
      <font>
        <strike val="0"/>
        <outline val="0"/>
        <shadow val="0"/>
        <u val="none"/>
        <vertAlign val="baseline"/>
        <sz val="14"/>
        <color theme="1"/>
        <name val="Calibri"/>
        <family val="2"/>
        <scheme val="minor"/>
      </font>
      <numFmt numFmtId="165" formatCode="0.0"/>
      <alignment horizontal="right" vertical="top" textRotation="0" indent="0" justifyLastLine="0" shrinkToFit="0" readingOrder="0"/>
      <border diagonalUp="0" diagonalDown="0">
        <left/>
        <right/>
        <top style="thin">
          <color theme="1"/>
        </top>
        <bottom/>
      </border>
    </dxf>
    <dxf>
      <font>
        <b val="0"/>
        <i val="0"/>
        <strike val="0"/>
        <condense val="0"/>
        <extend val="0"/>
        <outline val="0"/>
        <shadow val="0"/>
        <u val="none"/>
        <vertAlign val="baseline"/>
        <sz val="14"/>
        <color theme="1"/>
        <name val="Calibri"/>
        <family val="2"/>
        <scheme val="minor"/>
      </font>
      <numFmt numFmtId="1" formatCode="0"/>
    </dxf>
    <dxf>
      <font>
        <strike val="0"/>
        <outline val="0"/>
        <shadow val="0"/>
        <u val="none"/>
        <vertAlign val="baseline"/>
        <sz val="14"/>
        <color theme="1"/>
        <name val="Calibri"/>
        <family val="2"/>
        <scheme val="minor"/>
      </font>
      <alignment horizontal="right" vertical="top" textRotation="0" indent="0" justifyLastLine="0" shrinkToFit="0" readingOrder="0"/>
      <border diagonalUp="0" diagonalDown="0" outline="0">
        <left/>
        <right/>
        <top style="thin">
          <color theme="1"/>
        </top>
        <bottom/>
      </border>
    </dxf>
    <dxf>
      <font>
        <b val="0"/>
        <i val="0"/>
        <strike val="0"/>
        <condense val="0"/>
        <extend val="0"/>
        <outline val="0"/>
        <shadow val="0"/>
        <u val="none"/>
        <vertAlign val="baseline"/>
        <sz val="14"/>
        <color theme="1"/>
        <name val="Calibri"/>
        <family val="2"/>
        <scheme val="minor"/>
      </font>
    </dxf>
    <dxf>
      <font>
        <strike val="0"/>
        <outline val="0"/>
        <shadow val="0"/>
        <u val="none"/>
        <vertAlign val="baseline"/>
        <sz val="14"/>
        <color theme="1"/>
        <name val="Calibri"/>
        <family val="2"/>
        <scheme val="minor"/>
      </font>
      <alignment horizontal="right" vertical="top" textRotation="0" indent="0" justifyLastLine="0" shrinkToFit="0" readingOrder="0"/>
      <border diagonalUp="0" diagonalDown="0" outline="0">
        <left/>
        <right/>
        <top style="thin">
          <color theme="1"/>
        </top>
        <bottom/>
      </border>
    </dxf>
    <dxf>
      <font>
        <b val="0"/>
        <i val="0"/>
        <strike val="0"/>
        <condense val="0"/>
        <extend val="0"/>
        <outline val="0"/>
        <shadow val="0"/>
        <u val="none"/>
        <vertAlign val="baseline"/>
        <sz val="14"/>
        <color theme="1"/>
        <name val="Calibri"/>
        <family val="2"/>
        <scheme val="minor"/>
      </font>
    </dxf>
    <dxf>
      <font>
        <strike val="0"/>
        <outline val="0"/>
        <shadow val="0"/>
        <u val="none"/>
        <vertAlign val="baseline"/>
        <sz val="14"/>
        <color theme="1"/>
        <name val="Calibri"/>
        <family val="2"/>
        <scheme val="minor"/>
      </font>
      <alignment horizontal="right" vertical="top" textRotation="0" indent="0" justifyLastLine="0" shrinkToFit="0" readingOrder="0"/>
      <border diagonalUp="0" diagonalDown="0" outline="0">
        <left/>
        <right/>
        <top style="thin">
          <color theme="1"/>
        </top>
        <bottom/>
      </border>
    </dxf>
    <dxf>
      <font>
        <b val="0"/>
        <i val="0"/>
        <strike val="0"/>
        <condense val="0"/>
        <extend val="0"/>
        <outline val="0"/>
        <shadow val="0"/>
        <u val="none"/>
        <vertAlign val="baseline"/>
        <sz val="14"/>
        <color theme="1"/>
        <name val="Calibri"/>
        <family val="2"/>
        <scheme val="minor"/>
      </font>
    </dxf>
    <dxf>
      <font>
        <b val="0"/>
        <i val="0"/>
        <strike val="0"/>
        <condense val="0"/>
        <extend val="0"/>
        <outline val="0"/>
        <shadow val="0"/>
        <u val="none"/>
        <vertAlign val="baseline"/>
        <sz val="14"/>
        <color theme="1"/>
        <name val="Calibri"/>
        <family val="2"/>
        <scheme val="minor"/>
      </font>
      <numFmt numFmtId="13" formatCode="0%"/>
      <alignment horizontal="right" vertical="top" textRotation="0" indent="0" justifyLastLine="0" shrinkToFit="0" readingOrder="0"/>
      <border diagonalUp="0" diagonalDown="0">
        <left/>
        <right/>
        <top style="thin">
          <color theme="1"/>
        </top>
        <bottom/>
      </border>
    </dxf>
    <dxf>
      <font>
        <b val="0"/>
        <i val="0"/>
        <strike val="0"/>
        <condense val="0"/>
        <extend val="0"/>
        <outline val="0"/>
        <shadow val="0"/>
        <u val="none"/>
        <vertAlign val="baseline"/>
        <sz val="14"/>
        <color theme="1"/>
        <name val="Calibri"/>
        <family val="2"/>
        <scheme val="minor"/>
      </font>
    </dxf>
    <dxf>
      <font>
        <strike val="0"/>
        <outline val="0"/>
        <shadow val="0"/>
        <u val="none"/>
        <vertAlign val="baseline"/>
        <sz val="14"/>
        <color theme="1"/>
        <name val="Calibri"/>
        <family val="2"/>
        <scheme val="minor"/>
      </font>
      <numFmt numFmtId="0" formatCode="General"/>
      <alignment horizontal="right" vertical="top" textRotation="0" wrapText="1" indent="0" justifyLastLine="0" shrinkToFit="0" readingOrder="0"/>
      <border diagonalUp="0" diagonalDown="0">
        <left/>
        <right/>
        <top style="thin">
          <color theme="1"/>
        </top>
        <bottom/>
      </border>
    </dxf>
    <dxf>
      <font>
        <b val="0"/>
        <i val="0"/>
        <strike val="0"/>
        <condense val="0"/>
        <extend val="0"/>
        <outline val="0"/>
        <shadow val="0"/>
        <u val="none"/>
        <vertAlign val="baseline"/>
        <sz val="14"/>
        <color theme="1"/>
        <name val="Calibri"/>
        <family val="2"/>
        <scheme val="minor"/>
      </font>
      <numFmt numFmtId="2" formatCode="0.00"/>
      <alignment horizontal="general" vertical="bottom" textRotation="0" wrapText="1" indent="0" justifyLastLine="0" shrinkToFit="0" readingOrder="0"/>
    </dxf>
    <dxf>
      <font>
        <strike val="0"/>
        <outline val="0"/>
        <shadow val="0"/>
        <u val="none"/>
        <vertAlign val="baseline"/>
        <sz val="14"/>
        <color theme="1"/>
        <name val="Calibri"/>
        <family val="2"/>
        <scheme val="minor"/>
      </font>
      <numFmt numFmtId="0" formatCode="General"/>
      <alignment horizontal="right" vertical="top" textRotation="0" wrapText="1" indent="0" justifyLastLine="0" shrinkToFit="0" readingOrder="0"/>
      <border diagonalUp="0" diagonalDown="0">
        <left/>
        <right/>
        <top style="thin">
          <color theme="1"/>
        </top>
        <bottom/>
      </border>
    </dxf>
    <dxf>
      <font>
        <b val="0"/>
        <i val="0"/>
        <strike val="0"/>
        <condense val="0"/>
        <extend val="0"/>
        <outline val="0"/>
        <shadow val="0"/>
        <u val="none"/>
        <vertAlign val="baseline"/>
        <sz val="14"/>
        <color theme="1"/>
        <name val="Calibri"/>
        <family val="2"/>
        <scheme val="minor"/>
      </font>
      <numFmt numFmtId="2" formatCode="0.00"/>
      <alignment horizontal="general" vertical="bottom" textRotation="0" wrapText="1" indent="0" justifyLastLine="0" shrinkToFit="0" readingOrder="0"/>
    </dxf>
    <dxf>
      <font>
        <strike val="0"/>
        <outline val="0"/>
        <shadow val="0"/>
        <u val="none"/>
        <vertAlign val="baseline"/>
        <sz val="14"/>
        <color theme="1"/>
        <name val="Calibri"/>
        <family val="2"/>
        <scheme val="minor"/>
      </font>
      <alignment horizontal="right" vertical="top" textRotation="0" wrapText="1" indent="0" justifyLastLine="0" shrinkToFit="0" readingOrder="0"/>
      <border diagonalUp="0" diagonalDown="0" outline="0">
        <left/>
        <right/>
        <top style="thin">
          <color theme="1"/>
        </top>
        <bottom/>
      </border>
    </dxf>
    <dxf>
      <font>
        <b val="0"/>
        <i val="0"/>
        <strike val="0"/>
        <condense val="0"/>
        <extend val="0"/>
        <outline val="0"/>
        <shadow val="0"/>
        <u val="none"/>
        <vertAlign val="baseline"/>
        <sz val="14"/>
        <color theme="1"/>
        <name val="Calibri"/>
        <family val="2"/>
        <scheme val="minor"/>
      </font>
      <alignment horizontal="general" vertical="bottom" textRotation="0" wrapText="1" indent="0" justifyLastLine="0" shrinkToFit="0" readingOrder="0"/>
    </dxf>
    <dxf>
      <font>
        <strike val="0"/>
        <outline val="0"/>
        <shadow val="0"/>
        <u val="none"/>
        <vertAlign val="baseline"/>
        <sz val="14"/>
        <color theme="1"/>
        <name val="Calibri"/>
        <family val="2"/>
        <scheme val="minor"/>
      </font>
      <alignment horizontal="right" vertical="top" textRotation="0" indent="0" justifyLastLine="0" shrinkToFit="0" readingOrder="0"/>
    </dxf>
    <dxf>
      <font>
        <b val="0"/>
        <i val="0"/>
        <strike val="0"/>
        <condense val="0"/>
        <extend val="0"/>
        <outline val="0"/>
        <shadow val="0"/>
        <u val="none"/>
        <vertAlign val="baseline"/>
        <sz val="14"/>
        <color theme="1"/>
        <name val="Calibri"/>
        <family val="2"/>
        <scheme val="minor"/>
      </font>
      <alignment horizontal="general" vertical="bottom" textRotation="0" wrapText="1" indent="0" justifyLastLine="0" shrinkToFit="0" readingOrder="0"/>
    </dxf>
    <dxf>
      <font>
        <strike val="0"/>
        <outline val="0"/>
        <shadow val="0"/>
        <u val="none"/>
        <vertAlign val="baseline"/>
        <sz val="14"/>
        <color theme="1"/>
        <name val="Calibri"/>
        <family val="2"/>
        <scheme val="minor"/>
      </font>
      <alignment horizontal="general" vertical="bottom" textRotation="0" wrapText="1" indent="0" justifyLastLine="0" shrinkToFit="0" readingOrder="0"/>
      <border diagonalUp="0" diagonalDown="0" outline="0">
        <left/>
        <right/>
        <top style="thin">
          <color theme="1"/>
        </top>
        <bottom/>
      </border>
    </dxf>
    <dxf>
      <font>
        <b val="0"/>
        <i val="0"/>
        <strike val="0"/>
        <condense val="0"/>
        <extend val="0"/>
        <outline val="0"/>
        <shadow val="0"/>
        <u val="none"/>
        <vertAlign val="baseline"/>
        <sz val="14"/>
        <color theme="1"/>
        <name val="Calibri"/>
        <family val="2"/>
        <scheme val="minor"/>
      </font>
      <alignment horizontal="general" vertical="bottom" textRotation="0" wrapText="1" indent="0" justifyLastLine="0" shrinkToFit="0" readingOrder="0"/>
    </dxf>
    <dxf>
      <font>
        <strike val="0"/>
        <outline val="0"/>
        <shadow val="0"/>
        <u val="none"/>
        <vertAlign val="baseline"/>
        <sz val="14"/>
        <color theme="1"/>
        <name val="Calibri"/>
        <family val="2"/>
        <scheme val="minor"/>
      </font>
      <alignment horizontal="general" vertical="bottom" textRotation="0" wrapText="1" indent="0" justifyLastLine="0" shrinkToFit="0" readingOrder="0"/>
      <border diagonalUp="0" diagonalDown="0" outline="0">
        <left/>
        <right/>
        <top style="thin">
          <color theme="1"/>
        </top>
        <bottom/>
      </border>
    </dxf>
    <dxf>
      <font>
        <b val="0"/>
        <i val="0"/>
        <strike val="0"/>
        <condense val="0"/>
        <extend val="0"/>
        <outline val="0"/>
        <shadow val="0"/>
        <u val="none"/>
        <vertAlign val="baseline"/>
        <sz val="14"/>
        <color theme="1"/>
        <name val="Calibri"/>
        <family val="2"/>
        <scheme val="minor"/>
      </font>
      <alignment horizontal="general" vertical="bottom" textRotation="0" wrapText="1" indent="0" justifyLastLine="0" shrinkToFit="0" readingOrder="0"/>
    </dxf>
    <dxf>
      <font>
        <strike val="0"/>
        <outline val="0"/>
        <shadow val="0"/>
        <u val="none"/>
        <vertAlign val="baseline"/>
        <sz val="14"/>
        <color theme="1"/>
        <name val="Calibri"/>
        <family val="2"/>
        <scheme val="minor"/>
      </font>
      <alignment horizontal="right" vertical="bottom" textRotation="0" wrapText="0" indent="0" justifyLastLine="0" shrinkToFit="0" readingOrder="0"/>
      <border diagonalUp="0" diagonalDown="0" outline="0">
        <left/>
        <right/>
        <top style="thin">
          <color theme="1"/>
        </top>
        <bottom/>
      </border>
    </dxf>
    <dxf>
      <font>
        <b val="0"/>
        <i val="0"/>
        <strike val="0"/>
        <condense val="0"/>
        <extend val="0"/>
        <outline val="0"/>
        <shadow val="0"/>
        <u val="none"/>
        <vertAlign val="baseline"/>
        <sz val="14"/>
        <color theme="1"/>
        <name val="Calibri"/>
        <family val="2"/>
        <scheme val="minor"/>
      </font>
      <alignment horizontal="right" vertical="bottom" textRotation="0" wrapText="0" indent="0" justifyLastLine="0" shrinkToFit="0" readingOrder="0"/>
    </dxf>
    <dxf>
      <border outline="0">
        <left style="thin">
          <color theme="1"/>
        </left>
        <top style="thin">
          <color theme="1"/>
        </top>
      </border>
    </dxf>
    <dxf>
      <font>
        <b/>
        <i val="0"/>
        <strike val="0"/>
        <condense val="0"/>
        <extend val="0"/>
        <outline val="0"/>
        <shadow val="0"/>
        <u val="none"/>
        <vertAlign val="baseline"/>
        <sz val="11"/>
        <color theme="0"/>
        <name val="Calibri"/>
        <family val="2"/>
        <scheme val="minor"/>
      </font>
      <fill>
        <patternFill patternType="solid">
          <fgColor theme="1"/>
          <bgColor theme="1"/>
        </patternFill>
      </fill>
      <alignment horizontal="general" vertical="center" textRotation="0" wrapText="1" indent="0" justifyLastLine="0" shrinkToFit="0" readingOrder="0"/>
    </dxf>
    <dxf>
      <font>
        <b val="0"/>
        <i val="0"/>
        <strike val="0"/>
        <condense val="0"/>
        <extend val="0"/>
        <outline val="0"/>
        <shadow val="0"/>
        <u val="none"/>
        <vertAlign val="baseline"/>
        <sz val="11"/>
        <color auto="1"/>
        <name val="Calibri"/>
        <family val="2"/>
        <scheme val="minor"/>
      </font>
      <alignment horizontal="right" vertical="top" textRotation="0" wrapText="0" indent="0" justifyLastLine="0" shrinkToFit="0" readingOrder="0"/>
      <border diagonalUp="0" diagonalDown="0" outline="0">
        <left/>
        <right/>
        <top style="thin">
          <color theme="1"/>
        </top>
        <bottom/>
      </border>
    </dxf>
    <dxf>
      <numFmt numFmtId="13" formatCode="0%"/>
      <alignment horizontal="right" vertical="bottom" textRotation="0" wrapText="0" indent="0" justifyLastLine="0" shrinkToFit="0" readingOrder="0"/>
    </dxf>
    <dxf>
      <font>
        <strike val="0"/>
        <outline val="0"/>
        <shadow val="0"/>
        <u val="none"/>
        <vertAlign val="baseline"/>
        <sz val="11"/>
        <color auto="1"/>
        <name val="Calibri"/>
        <family val="2"/>
        <scheme val="minor"/>
      </font>
      <numFmt numFmtId="0" formatCode="General"/>
      <alignment horizontal="right" vertical="top" textRotation="0" indent="0" justifyLastLine="0" shrinkToFit="0" readingOrder="0"/>
      <border diagonalUp="0" diagonalDown="0" outline="0">
        <left/>
        <right/>
        <top style="thin">
          <color theme="1"/>
        </top>
        <bottom/>
      </border>
    </dxf>
    <dxf>
      <font>
        <strike val="0"/>
        <outline val="0"/>
        <shadow val="0"/>
        <u val="none"/>
        <vertAlign val="baseline"/>
        <sz val="11"/>
        <color auto="1"/>
        <name val="Calibri"/>
        <family val="2"/>
        <scheme val="minor"/>
      </font>
      <alignment horizontal="right" vertical="top" textRotation="0" indent="0" justifyLastLine="0" shrinkToFit="0" readingOrder="0"/>
      <border diagonalUp="0" diagonalDown="0" outline="0">
        <left/>
        <right/>
        <top style="thin">
          <color theme="1"/>
        </top>
        <bottom/>
      </border>
    </dxf>
    <dxf>
      <font>
        <strike val="0"/>
        <outline val="0"/>
        <shadow val="0"/>
        <u val="none"/>
        <vertAlign val="baseline"/>
        <sz val="11"/>
        <color auto="1"/>
        <name val="Calibri"/>
        <family val="2"/>
        <scheme val="minor"/>
      </font>
      <alignment horizontal="right" vertical="top" textRotation="0" indent="0" justifyLastLine="0" shrinkToFit="0" readingOrder="0"/>
      <border diagonalUp="0" diagonalDown="0" outline="0">
        <left/>
        <right/>
        <top style="thin">
          <color theme="1"/>
        </top>
        <bottom/>
      </border>
    </dxf>
    <dxf>
      <font>
        <strike val="0"/>
        <outline val="0"/>
        <shadow val="0"/>
        <u val="none"/>
        <vertAlign val="baseline"/>
        <sz val="11"/>
        <color auto="1"/>
        <name val="Calibri"/>
        <family val="2"/>
        <scheme val="minor"/>
      </font>
      <alignment horizontal="right" vertical="top" textRotation="0" indent="0" justifyLastLine="0" shrinkToFit="0" readingOrder="0"/>
      <border diagonalUp="0" diagonalDown="0" outline="0">
        <left/>
        <right/>
        <top style="thin">
          <color theme="1"/>
        </top>
        <bottom/>
      </border>
    </dxf>
    <dxf>
      <font>
        <b val="0"/>
        <i val="0"/>
        <strike val="0"/>
        <condense val="0"/>
        <extend val="0"/>
        <outline val="0"/>
        <shadow val="0"/>
        <u val="none"/>
        <vertAlign val="baseline"/>
        <sz val="11"/>
        <color auto="1"/>
        <name val="Calibri"/>
        <family val="2"/>
        <scheme val="minor"/>
      </font>
      <alignment horizontal="right" vertical="top" textRotation="0" indent="0" justifyLastLine="0" shrinkToFit="0" readingOrder="0"/>
      <border diagonalUp="0" diagonalDown="0" outline="0">
        <left/>
        <right/>
        <top style="thin">
          <color theme="1"/>
        </top>
        <bottom/>
      </border>
    </dxf>
    <dxf>
      <numFmt numFmtId="13" formatCode="0%"/>
    </dxf>
    <dxf>
      <font>
        <strike val="0"/>
        <outline val="0"/>
        <shadow val="0"/>
        <u val="none"/>
        <vertAlign val="baseline"/>
        <sz val="11"/>
        <color auto="1"/>
        <name val="Calibri"/>
        <family val="2"/>
        <scheme val="minor"/>
      </font>
      <numFmt numFmtId="2" formatCode="0.00"/>
      <alignment horizontal="right" vertical="top" textRotation="0" wrapText="1" indent="0" justifyLastLine="0" shrinkToFit="0" readingOrder="0"/>
      <border diagonalUp="0" diagonalDown="0" outline="0">
        <left/>
        <right/>
        <top style="thin">
          <color theme="1"/>
        </top>
        <bottom/>
      </border>
    </dxf>
    <dxf>
      <numFmt numFmtId="2" formatCode="0.00"/>
      <alignment horizontal="general" vertical="bottom" textRotation="0" wrapText="1" indent="0" justifyLastLine="0" shrinkToFit="0" readingOrder="0"/>
    </dxf>
    <dxf>
      <font>
        <strike val="0"/>
        <outline val="0"/>
        <shadow val="0"/>
        <u val="none"/>
        <vertAlign val="baseline"/>
        <sz val="11"/>
        <color auto="1"/>
        <name val="Calibri"/>
        <family val="2"/>
        <scheme val="minor"/>
      </font>
      <numFmt numFmtId="0" formatCode="General"/>
      <alignment horizontal="right" vertical="top" textRotation="0" wrapText="1" indent="0" justifyLastLine="0" shrinkToFit="0" readingOrder="0"/>
      <border diagonalUp="0" diagonalDown="0" outline="0">
        <left/>
        <right/>
        <top style="thin">
          <color theme="1"/>
        </top>
        <bottom/>
      </border>
    </dxf>
    <dxf>
      <alignment horizontal="general" vertical="bottom" textRotation="0" wrapText="1" indent="0" justifyLastLine="0" shrinkToFit="0" readingOrder="0"/>
    </dxf>
    <dxf>
      <font>
        <strike val="0"/>
        <outline val="0"/>
        <shadow val="0"/>
        <u val="none"/>
        <vertAlign val="baseline"/>
        <sz val="11"/>
        <color auto="1"/>
        <name val="Calibri"/>
        <family val="2"/>
        <scheme val="minor"/>
      </font>
      <alignment horizontal="right" vertical="top" textRotation="0" wrapText="1" indent="0" justifyLastLine="0" shrinkToFit="0" readingOrder="0"/>
      <border diagonalUp="0" diagonalDown="0" outline="0">
        <left/>
        <right/>
        <top style="thin">
          <color theme="1"/>
        </top>
        <bottom/>
      </border>
    </dxf>
    <dxf>
      <alignment horizontal="general" vertical="bottom" textRotation="0" wrapText="1" indent="0" justifyLastLine="0" shrinkToFit="0" readingOrder="0"/>
    </dxf>
    <dxf>
      <font>
        <strike val="0"/>
        <outline val="0"/>
        <shadow val="0"/>
        <u val="none"/>
        <vertAlign val="baseline"/>
        <sz val="11"/>
        <color auto="1"/>
        <name val="Calibri"/>
        <family val="2"/>
        <scheme val="minor"/>
      </font>
      <alignment horizontal="right" vertical="top" textRotation="0" wrapText="1" indent="0" justifyLastLine="0" shrinkToFit="0" readingOrder="0"/>
      <border diagonalUp="0" diagonalDown="0" outline="0">
        <left/>
        <right/>
        <top style="thin">
          <color theme="1"/>
        </top>
        <bottom/>
      </border>
    </dxf>
    <dxf>
      <alignment horizontal="general" vertical="bottom" textRotation="0" wrapText="1" indent="0" justifyLastLine="0" shrinkToFit="0" readingOrder="0"/>
    </dxf>
    <dxf>
      <alignment horizontal="right" vertical="bottom" textRotation="0" wrapText="0" indent="0" justifyLastLine="0" shrinkToFit="0" readingOrder="0"/>
      <border diagonalUp="0" diagonalDown="0">
        <left/>
        <right/>
        <top style="thin">
          <color theme="1"/>
        </top>
        <bottom/>
        <vertical/>
        <horizontal/>
      </border>
    </dxf>
    <dxf>
      <alignment horizontal="right" vertical="bottom" textRotation="0" wrapText="0" indent="0" justifyLastLine="0" shrinkToFit="0" readingOrder="0"/>
    </dxf>
    <dxf>
      <border outline="0">
        <left style="thin">
          <color theme="1"/>
        </left>
        <top style="thin">
          <color theme="1"/>
        </top>
        <bottom style="thin">
          <color theme="1"/>
        </bottom>
      </border>
    </dxf>
    <dxf>
      <font>
        <b/>
        <i val="0"/>
        <strike val="0"/>
        <condense val="0"/>
        <extend val="0"/>
        <outline val="0"/>
        <shadow val="0"/>
        <u val="none"/>
        <vertAlign val="baseline"/>
        <sz val="11"/>
        <color theme="0"/>
        <name val="Calibri"/>
        <family val="2"/>
        <scheme val="minor"/>
      </font>
      <fill>
        <patternFill patternType="solid">
          <fgColor theme="1"/>
          <bgColor theme="1"/>
        </patternFill>
      </fill>
      <alignment horizontal="general" vertical="center" textRotation="0" wrapText="1" indent="0" justifyLastLine="0" shrinkToFit="0" readingOrder="0"/>
    </dxf>
    <dxf>
      <font>
        <b val="0"/>
        <i val="0"/>
        <strike val="0"/>
        <condense val="0"/>
        <extend val="0"/>
        <outline val="0"/>
        <shadow val="0"/>
        <u val="none"/>
        <vertAlign val="baseline"/>
        <sz val="11"/>
        <color auto="1"/>
        <name val="Calibri"/>
        <family val="2"/>
        <scheme val="minor"/>
      </font>
      <alignment horizontal="right" vertical="top" textRotation="0" wrapText="0" indent="0" justifyLastLine="0" shrinkToFit="0" readingOrder="0"/>
      <border diagonalUp="0" diagonalDown="0" outline="0">
        <left/>
        <right/>
        <top style="thin">
          <color theme="1"/>
        </top>
        <bottom/>
      </border>
    </dxf>
    <dxf>
      <numFmt numFmtId="13" formatCode="0%"/>
      <alignment horizontal="right" vertical="bottom" textRotation="0" wrapText="0" indent="0" justifyLastLine="0" shrinkToFit="0" readingOrder="0"/>
    </dxf>
    <dxf>
      <font>
        <strike val="0"/>
        <outline val="0"/>
        <shadow val="0"/>
        <u val="none"/>
        <vertAlign val="baseline"/>
        <sz val="11"/>
        <color auto="1"/>
        <name val="Calibri"/>
        <family val="2"/>
        <scheme val="minor"/>
      </font>
      <numFmt numFmtId="0" formatCode="General"/>
      <alignment horizontal="right" vertical="top" textRotation="0" indent="0" justifyLastLine="0" shrinkToFit="0" readingOrder="0"/>
      <border diagonalUp="0" diagonalDown="0">
        <left/>
        <right/>
        <top style="thin">
          <color theme="1"/>
        </top>
        <bottom/>
      </border>
    </dxf>
    <dxf>
      <font>
        <strike val="0"/>
        <outline val="0"/>
        <shadow val="0"/>
        <u val="none"/>
        <vertAlign val="baseline"/>
        <sz val="11"/>
        <color auto="1"/>
        <name val="Calibri"/>
        <family val="2"/>
        <scheme val="minor"/>
      </font>
      <alignment horizontal="right" vertical="top" textRotation="0" indent="0" justifyLastLine="0" shrinkToFit="0" readingOrder="0"/>
      <border diagonalUp="0" diagonalDown="0" outline="0">
        <left/>
        <right/>
        <top style="thin">
          <color theme="1"/>
        </top>
        <bottom/>
      </border>
    </dxf>
    <dxf>
      <font>
        <strike val="0"/>
        <outline val="0"/>
        <shadow val="0"/>
        <u val="none"/>
        <vertAlign val="baseline"/>
        <sz val="11"/>
        <color auto="1"/>
        <name val="Calibri"/>
        <family val="2"/>
        <scheme val="minor"/>
      </font>
      <alignment horizontal="right" vertical="top" textRotation="0" indent="0" justifyLastLine="0" shrinkToFit="0" readingOrder="0"/>
      <border diagonalUp="0" diagonalDown="0" outline="0">
        <left/>
        <right/>
        <top style="thin">
          <color theme="1"/>
        </top>
        <bottom/>
      </border>
    </dxf>
    <dxf>
      <font>
        <strike val="0"/>
        <outline val="0"/>
        <shadow val="0"/>
        <u val="none"/>
        <vertAlign val="baseline"/>
        <sz val="11"/>
        <color auto="1"/>
        <name val="Calibri"/>
        <family val="2"/>
        <scheme val="minor"/>
      </font>
      <alignment horizontal="right" vertical="top" textRotation="0" indent="0" justifyLastLine="0" shrinkToFit="0" readingOrder="0"/>
      <border diagonalUp="0" diagonalDown="0" outline="0">
        <left/>
        <right/>
        <top style="thin">
          <color theme="1"/>
        </top>
        <bottom/>
      </border>
    </dxf>
    <dxf>
      <font>
        <b val="0"/>
        <i val="0"/>
        <strike val="0"/>
        <condense val="0"/>
        <extend val="0"/>
        <outline val="0"/>
        <shadow val="0"/>
        <u val="none"/>
        <vertAlign val="baseline"/>
        <sz val="11"/>
        <color auto="1"/>
        <name val="Calibri"/>
        <family val="2"/>
        <scheme val="minor"/>
      </font>
      <alignment horizontal="right" vertical="top" textRotation="0" indent="0" justifyLastLine="0" shrinkToFit="0" readingOrder="0"/>
      <border diagonalUp="0" diagonalDown="0" outline="0">
        <left/>
        <right/>
        <top style="thin">
          <color theme="1"/>
        </top>
        <bottom/>
      </border>
    </dxf>
    <dxf>
      <font>
        <strike val="0"/>
        <outline val="0"/>
        <shadow val="0"/>
        <u val="none"/>
        <vertAlign val="baseline"/>
        <sz val="11"/>
        <color auto="1"/>
        <name val="Calibri"/>
        <family val="2"/>
        <scheme val="minor"/>
      </font>
      <numFmt numFmtId="2" formatCode="0.00"/>
      <alignment horizontal="right" vertical="top" textRotation="0" wrapText="1" indent="0" justifyLastLine="0" shrinkToFit="0" readingOrder="0"/>
      <border diagonalUp="0" diagonalDown="0" outline="0">
        <left/>
        <right/>
        <top style="thin">
          <color theme="1"/>
        </top>
        <bottom/>
      </border>
    </dxf>
    <dxf>
      <numFmt numFmtId="2" formatCode="0.00"/>
      <alignment horizontal="general" vertical="bottom" textRotation="0" wrapText="1" indent="0" justifyLastLine="0" shrinkToFit="0" readingOrder="0"/>
    </dxf>
    <dxf>
      <font>
        <strike val="0"/>
        <outline val="0"/>
        <shadow val="0"/>
        <u val="none"/>
        <vertAlign val="baseline"/>
        <sz val="11"/>
        <color auto="1"/>
        <name val="Calibri"/>
        <family val="2"/>
        <scheme val="minor"/>
      </font>
      <numFmt numFmtId="0" formatCode="General"/>
      <alignment horizontal="right" vertical="top" textRotation="0" wrapText="1" indent="0" justifyLastLine="0" shrinkToFit="0" readingOrder="0"/>
      <border diagonalUp="0" diagonalDown="0" outline="0">
        <left/>
        <right/>
        <top style="thin">
          <color theme="1"/>
        </top>
        <bottom/>
      </border>
    </dxf>
    <dxf>
      <alignment horizontal="general" vertical="bottom" textRotation="0" wrapText="1" indent="0" justifyLastLine="0" shrinkToFit="0" readingOrder="0"/>
    </dxf>
    <dxf>
      <font>
        <strike val="0"/>
        <outline val="0"/>
        <shadow val="0"/>
        <u val="none"/>
        <vertAlign val="baseline"/>
        <sz val="11"/>
        <color auto="1"/>
        <name val="Calibri"/>
        <family val="2"/>
        <scheme val="minor"/>
      </font>
      <alignment horizontal="right" vertical="top" textRotation="0" wrapText="1" indent="0" justifyLastLine="0" shrinkToFit="0" readingOrder="0"/>
      <border diagonalUp="0" diagonalDown="0" outline="0">
        <left/>
        <right/>
        <top style="thin">
          <color theme="1"/>
        </top>
        <bottom/>
      </border>
    </dxf>
    <dxf>
      <alignment horizontal="general" vertical="bottom" textRotation="0" wrapText="1" indent="0" justifyLastLine="0" shrinkToFit="0" readingOrder="0"/>
    </dxf>
    <dxf>
      <font>
        <strike val="0"/>
        <outline val="0"/>
        <shadow val="0"/>
        <u val="none"/>
        <vertAlign val="baseline"/>
        <sz val="11"/>
        <color auto="1"/>
        <name val="Calibri"/>
        <family val="2"/>
        <scheme val="minor"/>
      </font>
      <alignment horizontal="right" vertical="top" textRotation="0" wrapText="1" indent="0" justifyLastLine="0" shrinkToFit="0" readingOrder="0"/>
      <border diagonalUp="0" diagonalDown="0" outline="0">
        <left/>
        <right/>
        <top style="thin">
          <color theme="1"/>
        </top>
        <bottom/>
      </border>
    </dxf>
    <dxf>
      <alignment horizontal="general" vertical="bottom" textRotation="0" wrapText="1" indent="0" justifyLastLine="0" shrinkToFit="0" readingOrder="0"/>
    </dxf>
    <dxf>
      <alignment horizontal="right" vertical="bottom" textRotation="0" wrapText="0" indent="0" justifyLastLine="0" shrinkToFit="0" readingOrder="0"/>
      <border diagonalUp="0" diagonalDown="0">
        <left/>
        <right/>
        <top style="thin">
          <color theme="1"/>
        </top>
        <bottom/>
        <vertical/>
        <horizontal/>
      </border>
    </dxf>
    <dxf>
      <alignment horizontal="right" vertical="bottom" textRotation="0" wrapText="0" indent="0" justifyLastLine="0" shrinkToFit="0" readingOrder="0"/>
    </dxf>
    <dxf>
      <border outline="0">
        <left style="thin">
          <color theme="1"/>
        </left>
        <top style="thin">
          <color theme="1"/>
        </top>
        <bottom style="thin">
          <color theme="1"/>
        </bottom>
      </border>
    </dxf>
    <dxf>
      <font>
        <b/>
        <i val="0"/>
        <strike val="0"/>
        <condense val="0"/>
        <extend val="0"/>
        <outline val="0"/>
        <shadow val="0"/>
        <u val="none"/>
        <vertAlign val="baseline"/>
        <sz val="11"/>
        <color theme="0"/>
        <name val="Calibri"/>
        <family val="2"/>
        <scheme val="minor"/>
      </font>
      <fill>
        <patternFill patternType="solid">
          <fgColor theme="1"/>
          <bgColor theme="1"/>
        </patternFill>
      </fill>
      <alignment horizontal="general" vertical="center" textRotation="0" wrapText="1" indent="0" justifyLastLine="0" shrinkToFit="0" readingOrder="0"/>
    </dxf>
    <dxf>
      <font>
        <b val="0"/>
        <i val="0"/>
        <strike val="0"/>
        <condense val="0"/>
        <extend val="0"/>
        <outline val="0"/>
        <shadow val="0"/>
        <u val="none"/>
        <vertAlign val="baseline"/>
        <sz val="14"/>
        <color theme="1"/>
        <name val="Calibri"/>
        <family val="2"/>
        <scheme val="minor"/>
      </font>
      <alignment horizontal="right" vertical="top" textRotation="0" indent="0" justifyLastLine="0" shrinkToFit="0" readingOrder="0"/>
      <border diagonalUp="0" diagonalDown="0" outline="0">
        <left/>
        <right/>
        <top style="thin">
          <color theme="1"/>
        </top>
        <bottom/>
      </border>
    </dxf>
    <dxf>
      <font>
        <b val="0"/>
        <i val="0"/>
        <strike val="0"/>
        <condense val="0"/>
        <extend val="0"/>
        <outline val="0"/>
        <shadow val="0"/>
        <u val="none"/>
        <vertAlign val="baseline"/>
        <sz val="14"/>
        <color theme="1"/>
        <name val="Calibri"/>
        <family val="2"/>
        <scheme val="minor"/>
      </font>
      <numFmt numFmtId="13" formatCode="0%"/>
    </dxf>
    <dxf>
      <font>
        <strike val="0"/>
        <outline val="0"/>
        <shadow val="0"/>
        <u val="none"/>
        <vertAlign val="baseline"/>
        <sz val="14"/>
        <color theme="1"/>
        <name val="Calibri"/>
        <family val="2"/>
        <scheme val="minor"/>
      </font>
      <numFmt numFmtId="1" formatCode="0"/>
      <alignment horizontal="right" vertical="top" textRotation="0" indent="0" justifyLastLine="0" shrinkToFit="0" readingOrder="0"/>
      <border diagonalUp="0" diagonalDown="0" outline="0">
        <left/>
        <right/>
        <top style="thin">
          <color theme="1"/>
        </top>
        <bottom/>
      </border>
    </dxf>
    <dxf>
      <font>
        <b val="0"/>
        <i val="0"/>
        <strike val="0"/>
        <condense val="0"/>
        <extend val="0"/>
        <outline val="0"/>
        <shadow val="0"/>
        <u val="none"/>
        <vertAlign val="baseline"/>
        <sz val="14"/>
        <color theme="1"/>
        <name val="Calibri"/>
        <family val="2"/>
        <scheme val="minor"/>
      </font>
      <numFmt numFmtId="1" formatCode="0"/>
    </dxf>
    <dxf>
      <font>
        <strike val="0"/>
        <outline val="0"/>
        <shadow val="0"/>
        <u val="none"/>
        <vertAlign val="baseline"/>
        <sz val="14"/>
        <color theme="1"/>
        <name val="Calibri"/>
        <family val="2"/>
        <scheme val="minor"/>
      </font>
      <alignment horizontal="right" vertical="top" textRotation="0" indent="0" justifyLastLine="0" shrinkToFit="0" readingOrder="0"/>
      <border diagonalUp="0" diagonalDown="0" outline="0">
        <left/>
        <right/>
        <top style="thin">
          <color theme="1"/>
        </top>
        <bottom/>
      </border>
    </dxf>
    <dxf>
      <font>
        <b val="0"/>
        <i val="0"/>
        <strike val="0"/>
        <condense val="0"/>
        <extend val="0"/>
        <outline val="0"/>
        <shadow val="0"/>
        <u val="none"/>
        <vertAlign val="baseline"/>
        <sz val="14"/>
        <color theme="1"/>
        <name val="Calibri"/>
        <family val="2"/>
        <scheme val="minor"/>
      </font>
    </dxf>
    <dxf>
      <font>
        <strike val="0"/>
        <outline val="0"/>
        <shadow val="0"/>
        <u val="none"/>
        <vertAlign val="baseline"/>
        <sz val="14"/>
        <color theme="1"/>
        <name val="Calibri"/>
        <family val="2"/>
        <scheme val="minor"/>
      </font>
      <alignment horizontal="right" vertical="top" textRotation="0" indent="0" justifyLastLine="0" shrinkToFit="0" readingOrder="0"/>
      <border diagonalUp="0" diagonalDown="0" outline="0">
        <left/>
        <right/>
        <top style="thin">
          <color theme="1"/>
        </top>
        <bottom/>
      </border>
    </dxf>
    <dxf>
      <font>
        <b val="0"/>
        <i val="0"/>
        <strike val="0"/>
        <condense val="0"/>
        <extend val="0"/>
        <outline val="0"/>
        <shadow val="0"/>
        <u val="none"/>
        <vertAlign val="baseline"/>
        <sz val="14"/>
        <color theme="1"/>
        <name val="Calibri"/>
        <family val="2"/>
        <scheme val="minor"/>
      </font>
    </dxf>
    <dxf>
      <font>
        <strike val="0"/>
        <outline val="0"/>
        <shadow val="0"/>
        <u val="none"/>
        <vertAlign val="baseline"/>
        <sz val="14"/>
        <color theme="1"/>
        <name val="Calibri"/>
        <family val="2"/>
        <scheme val="minor"/>
      </font>
      <alignment horizontal="right" vertical="top" textRotation="0" indent="0" justifyLastLine="0" shrinkToFit="0" readingOrder="0"/>
      <border diagonalUp="0" diagonalDown="0" outline="0">
        <left/>
        <right/>
        <top style="thin">
          <color theme="1"/>
        </top>
        <bottom/>
      </border>
    </dxf>
    <dxf>
      <font>
        <b val="0"/>
        <i val="0"/>
        <strike val="0"/>
        <condense val="0"/>
        <extend val="0"/>
        <outline val="0"/>
        <shadow val="0"/>
        <u val="none"/>
        <vertAlign val="baseline"/>
        <sz val="14"/>
        <color theme="1"/>
        <name val="Calibri"/>
        <family val="2"/>
        <scheme val="minor"/>
      </font>
    </dxf>
    <dxf>
      <font>
        <b val="0"/>
        <i val="0"/>
        <strike val="0"/>
        <condense val="0"/>
        <extend val="0"/>
        <outline val="0"/>
        <shadow val="0"/>
        <u val="none"/>
        <vertAlign val="baseline"/>
        <sz val="14"/>
        <color theme="1"/>
        <name val="Calibri"/>
        <family val="2"/>
        <scheme val="minor"/>
      </font>
      <alignment horizontal="right" vertical="top" textRotation="0" indent="0" justifyLastLine="0" shrinkToFit="0" readingOrder="0"/>
      <border diagonalUp="0" diagonalDown="0" outline="0">
        <left/>
        <right/>
        <top style="thin">
          <color theme="1"/>
        </top>
        <bottom/>
      </border>
    </dxf>
    <dxf>
      <font>
        <b val="0"/>
        <i val="0"/>
        <strike val="0"/>
        <condense val="0"/>
        <extend val="0"/>
        <outline val="0"/>
        <shadow val="0"/>
        <u val="none"/>
        <vertAlign val="baseline"/>
        <sz val="14"/>
        <color theme="1"/>
        <name val="Calibri"/>
        <family val="2"/>
        <scheme val="minor"/>
      </font>
    </dxf>
    <dxf>
      <font>
        <strike val="0"/>
        <outline val="0"/>
        <shadow val="0"/>
        <u val="none"/>
        <vertAlign val="baseline"/>
        <sz val="14"/>
        <color theme="1"/>
        <name val="Calibri"/>
        <family val="2"/>
        <scheme val="minor"/>
      </font>
      <numFmt numFmtId="2" formatCode="0.00"/>
      <alignment horizontal="right" vertical="top" textRotation="0" wrapText="1" indent="0" justifyLastLine="0" shrinkToFit="0" readingOrder="0"/>
      <border diagonalUp="0" diagonalDown="0" outline="0">
        <left/>
        <right/>
        <top style="thin">
          <color theme="1"/>
        </top>
        <bottom/>
      </border>
    </dxf>
    <dxf>
      <font>
        <b val="0"/>
        <i val="0"/>
        <strike val="0"/>
        <condense val="0"/>
        <extend val="0"/>
        <outline val="0"/>
        <shadow val="0"/>
        <u val="none"/>
        <vertAlign val="baseline"/>
        <sz val="14"/>
        <color theme="1"/>
        <name val="Calibri"/>
        <family val="2"/>
        <scheme val="minor"/>
      </font>
      <numFmt numFmtId="2" formatCode="0.00"/>
      <alignment horizontal="general" vertical="bottom" textRotation="0" wrapText="1" indent="0" justifyLastLine="0" shrinkToFit="0" readingOrder="0"/>
    </dxf>
    <dxf>
      <font>
        <strike val="0"/>
        <outline val="0"/>
        <shadow val="0"/>
        <u val="none"/>
        <vertAlign val="baseline"/>
        <sz val="14"/>
        <color theme="1"/>
        <name val="Calibri"/>
        <family val="2"/>
        <scheme val="minor"/>
      </font>
      <numFmt numFmtId="2" formatCode="0.00"/>
      <alignment horizontal="right" vertical="top" textRotation="0" wrapText="1" indent="0" justifyLastLine="0" shrinkToFit="0" readingOrder="0"/>
      <border diagonalUp="0" diagonalDown="0" outline="0">
        <left/>
        <right/>
        <top style="thin">
          <color theme="1"/>
        </top>
        <bottom/>
      </border>
    </dxf>
    <dxf>
      <font>
        <b val="0"/>
        <i val="0"/>
        <strike val="0"/>
        <condense val="0"/>
        <extend val="0"/>
        <outline val="0"/>
        <shadow val="0"/>
        <u val="none"/>
        <vertAlign val="baseline"/>
        <sz val="14"/>
        <color theme="1"/>
        <name val="Calibri"/>
        <family val="2"/>
        <scheme val="minor"/>
      </font>
      <numFmt numFmtId="2" formatCode="0.00"/>
      <alignment horizontal="general" vertical="bottom" textRotation="0" wrapText="1" indent="0" justifyLastLine="0" shrinkToFit="0" readingOrder="0"/>
    </dxf>
    <dxf>
      <font>
        <strike val="0"/>
        <outline val="0"/>
        <shadow val="0"/>
        <u val="none"/>
        <vertAlign val="baseline"/>
        <sz val="14"/>
        <color theme="1"/>
        <name val="Calibri"/>
        <family val="2"/>
        <scheme val="minor"/>
      </font>
      <alignment horizontal="right" vertical="top" textRotation="0" wrapText="1" indent="0" justifyLastLine="0" shrinkToFit="0" readingOrder="0"/>
      <border diagonalUp="0" diagonalDown="0" outline="0">
        <left/>
        <right/>
        <top style="thin">
          <color theme="1"/>
        </top>
        <bottom/>
      </border>
    </dxf>
    <dxf>
      <font>
        <b val="0"/>
        <i val="0"/>
        <strike val="0"/>
        <condense val="0"/>
        <extend val="0"/>
        <outline val="0"/>
        <shadow val="0"/>
        <u val="none"/>
        <vertAlign val="baseline"/>
        <sz val="14"/>
        <color theme="1"/>
        <name val="Calibri"/>
        <family val="2"/>
        <scheme val="minor"/>
      </font>
      <alignment horizontal="general" vertical="bottom" textRotation="0" wrapText="1" indent="0" justifyLastLine="0" shrinkToFit="0" readingOrder="0"/>
    </dxf>
    <dxf>
      <font>
        <strike val="0"/>
        <outline val="0"/>
        <shadow val="0"/>
        <u val="none"/>
        <vertAlign val="baseline"/>
        <sz val="14"/>
        <color theme="1"/>
        <name val="Calibri"/>
        <family val="2"/>
        <scheme val="minor"/>
      </font>
      <alignment horizontal="right" vertical="top" textRotation="0" indent="0" justifyLastLine="0" shrinkToFit="0" readingOrder="0"/>
    </dxf>
    <dxf>
      <font>
        <b val="0"/>
        <i val="0"/>
        <strike val="0"/>
        <condense val="0"/>
        <extend val="0"/>
        <outline val="0"/>
        <shadow val="0"/>
        <u val="none"/>
        <vertAlign val="baseline"/>
        <sz val="14"/>
        <color theme="1"/>
        <name val="Calibri"/>
        <family val="2"/>
        <scheme val="minor"/>
      </font>
      <alignment horizontal="general" vertical="bottom" textRotation="0" wrapText="1" indent="0" justifyLastLine="0" shrinkToFit="0" readingOrder="0"/>
    </dxf>
    <dxf>
      <font>
        <strike val="0"/>
        <outline val="0"/>
        <shadow val="0"/>
        <u val="none"/>
        <vertAlign val="baseline"/>
        <sz val="14"/>
        <color theme="1"/>
        <name val="Calibri"/>
        <family val="2"/>
        <scheme val="minor"/>
      </font>
      <alignment horizontal="general" vertical="bottom" textRotation="0" wrapText="1" indent="0" justifyLastLine="0" shrinkToFit="0" readingOrder="0"/>
      <border diagonalUp="0" diagonalDown="0" outline="0">
        <left/>
        <right/>
        <top style="thin">
          <color theme="1"/>
        </top>
        <bottom/>
      </border>
    </dxf>
    <dxf>
      <font>
        <b val="0"/>
        <i val="0"/>
        <strike val="0"/>
        <condense val="0"/>
        <extend val="0"/>
        <outline val="0"/>
        <shadow val="0"/>
        <u val="none"/>
        <vertAlign val="baseline"/>
        <sz val="14"/>
        <color theme="1"/>
        <name val="Calibri"/>
        <family val="2"/>
        <scheme val="minor"/>
      </font>
      <alignment horizontal="general" vertical="bottom" textRotation="0" wrapText="1" indent="0" justifyLastLine="0" shrinkToFit="0" readingOrder="0"/>
    </dxf>
    <dxf>
      <font>
        <strike val="0"/>
        <outline val="0"/>
        <shadow val="0"/>
        <u val="none"/>
        <vertAlign val="baseline"/>
        <sz val="14"/>
        <color theme="1"/>
        <name val="Calibri"/>
        <family val="2"/>
        <scheme val="minor"/>
      </font>
      <alignment horizontal="general" vertical="bottom" textRotation="0" wrapText="1" indent="0" justifyLastLine="0" shrinkToFit="0" readingOrder="0"/>
      <border diagonalUp="0" diagonalDown="0" outline="0">
        <left/>
        <right/>
        <top style="thin">
          <color theme="1"/>
        </top>
        <bottom/>
      </border>
    </dxf>
    <dxf>
      <font>
        <b val="0"/>
        <i val="0"/>
        <strike val="0"/>
        <condense val="0"/>
        <extend val="0"/>
        <outline val="0"/>
        <shadow val="0"/>
        <u val="none"/>
        <vertAlign val="baseline"/>
        <sz val="14"/>
        <color theme="1"/>
        <name val="Calibri"/>
        <family val="2"/>
        <scheme val="minor"/>
      </font>
      <alignment horizontal="general" vertical="bottom" textRotation="0" wrapText="1" indent="0" justifyLastLine="0" shrinkToFit="0" readingOrder="0"/>
    </dxf>
    <dxf>
      <font>
        <strike val="0"/>
        <outline val="0"/>
        <shadow val="0"/>
        <u val="none"/>
        <vertAlign val="baseline"/>
        <sz val="14"/>
        <color theme="1"/>
        <name val="Calibri"/>
        <family val="2"/>
        <scheme val="minor"/>
      </font>
      <alignment horizontal="right" vertical="bottom" textRotation="0" wrapText="0" indent="0" justifyLastLine="0" shrinkToFit="0" readingOrder="0"/>
      <border diagonalUp="0" diagonalDown="0" outline="0">
        <left/>
        <right/>
        <top style="thin">
          <color theme="1"/>
        </top>
        <bottom/>
      </border>
    </dxf>
    <dxf>
      <font>
        <b val="0"/>
        <i val="0"/>
        <strike val="0"/>
        <condense val="0"/>
        <extend val="0"/>
        <outline val="0"/>
        <shadow val="0"/>
        <u val="none"/>
        <vertAlign val="baseline"/>
        <sz val="14"/>
        <color theme="1"/>
        <name val="Calibri"/>
        <family val="2"/>
        <scheme val="minor"/>
      </font>
      <alignment horizontal="right" vertical="bottom" textRotation="0" wrapText="0" indent="0" justifyLastLine="0" shrinkToFit="0" readingOrder="0"/>
    </dxf>
    <dxf>
      <border outline="0">
        <left style="thin">
          <color theme="1"/>
        </left>
        <top style="thin">
          <color theme="1"/>
        </top>
      </border>
    </dxf>
    <dxf>
      <font>
        <b/>
        <i val="0"/>
        <strike val="0"/>
        <condense val="0"/>
        <extend val="0"/>
        <outline val="0"/>
        <shadow val="0"/>
        <u val="none"/>
        <vertAlign val="baseline"/>
        <sz val="11"/>
        <color theme="0"/>
        <name val="Calibri"/>
        <family val="2"/>
        <scheme val="minor"/>
      </font>
      <fill>
        <patternFill patternType="solid">
          <fgColor theme="1"/>
          <bgColor theme="1"/>
        </patternFill>
      </fill>
      <alignment horizontal="general" vertical="center" textRotation="0" wrapText="1" indent="0" justifyLastLine="0" shrinkToFit="0" readingOrder="0"/>
    </dxf>
    <dxf>
      <font>
        <b val="0"/>
        <i val="0"/>
        <strike val="0"/>
        <condense val="0"/>
        <extend val="0"/>
        <outline val="0"/>
        <shadow val="0"/>
        <u val="none"/>
        <vertAlign val="baseline"/>
        <sz val="11"/>
        <color theme="1"/>
        <name val="Calibri"/>
        <family val="2"/>
        <scheme val="minor"/>
      </font>
      <alignment horizontal="right" vertical="top" textRotation="0" wrapText="0" indent="0" justifyLastLine="0" shrinkToFit="0" readingOrder="0"/>
      <border diagonalUp="0" diagonalDown="0" outline="0">
        <left/>
        <right/>
        <top style="thin">
          <color theme="1"/>
        </top>
        <bottom/>
      </border>
    </dxf>
    <dxf>
      <numFmt numFmtId="13" formatCode="0%"/>
      <alignment horizontal="right" vertical="top" textRotation="0" wrapText="0" indent="0" justifyLastLine="0" shrinkToFit="0" readingOrder="0"/>
    </dxf>
    <dxf>
      <numFmt numFmtId="1" formatCode="0"/>
      <alignment horizontal="right" vertical="top" textRotation="0" wrapText="0" indent="0" justifyLastLine="0" shrinkToFit="0" readingOrder="0"/>
      <border diagonalUp="0" diagonalDown="0" outline="0">
        <left/>
        <right/>
        <top style="thin">
          <color theme="1"/>
        </top>
        <bottom/>
      </border>
    </dxf>
    <dxf>
      <numFmt numFmtId="1" formatCode="0"/>
      <alignment horizontal="right" vertical="top" textRotation="0" wrapText="0" indent="0" justifyLastLine="0" shrinkToFit="0" readingOrder="0"/>
    </dxf>
    <dxf>
      <numFmt numFmtId="1" formatCode="0"/>
      <alignment horizontal="right" vertical="top" textRotation="0" wrapText="1" indent="0" justifyLastLine="0" shrinkToFit="0" readingOrder="0"/>
      <border diagonalUp="0" diagonalDown="0">
        <left/>
        <right/>
        <top style="thin">
          <color theme="1"/>
        </top>
        <bottom/>
        <vertical/>
        <horizontal/>
      </border>
    </dxf>
    <dxf>
      <alignment horizontal="right" vertical="top" textRotation="0" wrapText="0" indent="0" justifyLastLine="0" shrinkToFit="0" readingOrder="0"/>
    </dxf>
    <dxf>
      <numFmt numFmtId="1" formatCode="0"/>
      <alignment horizontal="right" vertical="top" textRotation="0" wrapText="1" indent="0" justifyLastLine="0" shrinkToFit="0" readingOrder="0"/>
      <border diagonalUp="0" diagonalDown="0">
        <left/>
        <right/>
        <top style="thin">
          <color theme="1"/>
        </top>
        <bottom/>
        <vertical/>
        <horizontal/>
      </border>
    </dxf>
    <dxf>
      <numFmt numFmtId="1" formatCode="0"/>
      <alignment horizontal="right" vertical="top" textRotation="0" wrapText="0" indent="0" justifyLastLine="0" shrinkToFit="0" readingOrder="0"/>
    </dxf>
    <dxf>
      <numFmt numFmtId="1" formatCode="0"/>
      <alignment horizontal="right" vertical="top" textRotation="0" wrapText="0" indent="0" justifyLastLine="0" shrinkToFit="0" readingOrder="0"/>
      <border diagonalUp="0" diagonalDown="0" outline="0">
        <left/>
        <right/>
        <top style="thin">
          <color theme="1"/>
        </top>
        <bottom/>
      </border>
    </dxf>
    <dxf>
      <alignment horizontal="right" vertical="top" textRotation="0" wrapText="0" indent="0" justifyLastLine="0" shrinkToFit="0" readingOrder="0"/>
    </dxf>
    <dxf>
      <font>
        <b val="0"/>
        <i val="0"/>
        <strike val="0"/>
        <condense val="0"/>
        <extend val="0"/>
        <outline val="0"/>
        <shadow val="0"/>
        <u val="none"/>
        <vertAlign val="baseline"/>
        <sz val="11"/>
        <color theme="1"/>
        <name val="Calibri"/>
        <family val="2"/>
        <scheme val="minor"/>
      </font>
      <alignment horizontal="right" vertical="top" textRotation="0" wrapText="0" indent="0" justifyLastLine="0" shrinkToFit="0" readingOrder="0"/>
      <border diagonalUp="0" diagonalDown="0" outline="0">
        <left/>
        <right/>
        <top style="thin">
          <color theme="1"/>
        </top>
        <bottom/>
      </border>
    </dxf>
    <dxf>
      <alignment horizontal="right" vertical="top" textRotation="0" wrapText="0" indent="0" justifyLastLine="0" shrinkToFit="0" readingOrder="0"/>
    </dxf>
    <dxf>
      <numFmt numFmtId="2" formatCode="0.00"/>
      <alignment horizontal="right" vertical="top" textRotation="0" wrapText="1" indent="0" justifyLastLine="0" shrinkToFit="0" readingOrder="0"/>
      <border diagonalUp="0" diagonalDown="0" outline="0">
        <left/>
        <right/>
        <top style="thin">
          <color theme="1"/>
        </top>
        <bottom/>
      </border>
    </dxf>
    <dxf>
      <numFmt numFmtId="2" formatCode="0.00"/>
      <alignment horizontal="right" vertical="top" textRotation="0" wrapText="1" indent="0" justifyLastLine="0" shrinkToFit="0" readingOrder="0"/>
    </dxf>
    <dxf>
      <numFmt numFmtId="2" formatCode="0.00"/>
      <alignment horizontal="right" vertical="top" textRotation="0" wrapText="1" indent="0" justifyLastLine="0" shrinkToFit="0" readingOrder="0"/>
      <border diagonalUp="0" diagonalDown="0" outline="0">
        <left/>
        <right/>
        <top style="thin">
          <color theme="1"/>
        </top>
        <bottom/>
      </border>
    </dxf>
    <dxf>
      <numFmt numFmtId="2" formatCode="0.00"/>
      <alignment horizontal="right" vertical="top" textRotation="0" wrapText="1" indent="0" justifyLastLine="0" shrinkToFit="0" readingOrder="0"/>
    </dxf>
    <dxf>
      <alignment horizontal="right" vertical="top" textRotation="0" wrapText="1" indent="0" justifyLastLine="0" shrinkToFit="0" readingOrder="0"/>
      <border diagonalUp="0" diagonalDown="0">
        <left/>
        <right/>
        <top style="thin">
          <color theme="1"/>
        </top>
        <bottom/>
        <vertical/>
        <horizontal/>
      </border>
    </dxf>
    <dxf>
      <alignment horizontal="right" vertical="top" textRotation="0" wrapText="1" indent="0" justifyLastLine="0" shrinkToFit="0" readingOrder="0"/>
    </dxf>
    <dxf>
      <alignment horizontal="right" vertical="top" textRotation="0" wrapText="1" indent="0" justifyLastLine="0" shrinkToFit="0" readingOrder="0"/>
      <border diagonalUp="0" diagonalDown="0">
        <left/>
        <right/>
        <top style="thin">
          <color theme="1"/>
        </top>
        <bottom/>
        <vertical/>
        <horizontal/>
      </border>
    </dxf>
    <dxf>
      <alignment horizontal="righ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0" indent="0" justifyLastLine="0" shrinkToFit="0" readingOrder="0"/>
    </dxf>
    <dxf>
      <alignment horizontal="left" vertical="top" textRotation="0" wrapText="1" indent="0" justifyLastLine="0" shrinkToFit="0" readingOrder="0"/>
      <border diagonalUp="0" diagonalDown="0" outline="0">
        <left/>
        <right/>
        <top style="thin">
          <color theme="1"/>
        </top>
        <bottom/>
      </border>
    </dxf>
    <dxf>
      <alignment horizontal="left" vertical="top" textRotation="0" wrapText="0" indent="0" justifyLastLine="0" shrinkToFit="0" readingOrder="0"/>
    </dxf>
    <dxf>
      <border outline="0">
        <left style="thin">
          <color theme="1"/>
        </left>
        <top style="thin">
          <color theme="1"/>
        </top>
        <bottom style="thin">
          <color indexed="64"/>
        </bottom>
      </border>
    </dxf>
    <dxf>
      <alignment horizontal="left" vertical="top" textRotation="0" wrapText="0" indent="0" justifyLastLine="0" shrinkToFit="0" readingOrder="0"/>
    </dxf>
    <dxf>
      <font>
        <b/>
        <i val="0"/>
        <strike val="0"/>
        <condense val="0"/>
        <extend val="0"/>
        <outline val="0"/>
        <shadow val="0"/>
        <u val="none"/>
        <vertAlign val="baseline"/>
        <sz val="11"/>
        <color theme="0"/>
        <name val="Calibri"/>
        <family val="2"/>
        <scheme val="minor"/>
      </font>
      <fill>
        <patternFill patternType="solid">
          <fgColor theme="1"/>
          <bgColor theme="1"/>
        </patternFill>
      </fill>
      <alignment horizontal="general" vertical="center" textRotation="0" wrapText="1" indent="0" justifyLastLine="0" shrinkToFit="0" readingOrder="0"/>
    </dxf>
    <dxf>
      <font>
        <b val="0"/>
        <i val="0"/>
        <strike val="0"/>
        <condense val="0"/>
        <extend val="0"/>
        <outline val="0"/>
        <shadow val="0"/>
        <u val="none"/>
        <vertAlign val="baseline"/>
        <sz val="11"/>
        <color theme="1"/>
        <name val="Calibri"/>
        <family val="2"/>
        <scheme val="minor"/>
      </font>
      <alignment horizontal="right" vertical="top" textRotation="0" indent="0" justifyLastLine="0" shrinkToFit="0" readingOrder="0"/>
      <border diagonalUp="0" diagonalDown="0" outline="0">
        <left/>
        <right/>
        <top style="thin">
          <color theme="1"/>
        </top>
        <bottom/>
      </border>
    </dxf>
    <dxf>
      <numFmt numFmtId="13" formatCode="0%"/>
    </dxf>
    <dxf>
      <numFmt numFmtId="1" formatCode="0"/>
      <alignment horizontal="right" vertical="top" textRotation="0" indent="0" justifyLastLine="0" shrinkToFit="0" readingOrder="0"/>
      <border diagonalUp="0" diagonalDown="0" outline="0">
        <left/>
        <right/>
        <top style="thin">
          <color theme="1"/>
        </top>
        <bottom/>
      </border>
    </dxf>
    <dxf>
      <numFmt numFmtId="1" formatCode="0"/>
    </dxf>
    <dxf>
      <numFmt numFmtId="1" formatCode="0"/>
      <alignment horizontal="right" vertical="top" textRotation="0" wrapText="1" indent="0" justifyLastLine="0" shrinkToFit="0" readingOrder="0"/>
      <border diagonalUp="0" diagonalDown="0">
        <left/>
        <right/>
        <top style="thin">
          <color theme="1"/>
        </top>
        <bottom/>
        <vertical/>
        <horizontal/>
      </border>
    </dxf>
    <dxf>
      <numFmt numFmtId="1" formatCode="0"/>
      <alignment horizontal="right" vertical="top" textRotation="0" wrapText="1" indent="0" justifyLastLine="0" shrinkToFit="0" readingOrder="0"/>
      <border diagonalUp="0" diagonalDown="0">
        <left/>
        <right/>
        <top style="thin">
          <color theme="1"/>
        </top>
        <bottom/>
        <vertical/>
        <horizontal/>
      </border>
    </dxf>
    <dxf>
      <numFmt numFmtId="1" formatCode="0"/>
    </dxf>
    <dxf>
      <numFmt numFmtId="1" formatCode="0"/>
      <alignment horizontal="right" vertical="top" textRotation="0" indent="0" justifyLastLine="0" shrinkToFit="0" readingOrder="0"/>
      <border diagonalUp="0" diagonalDown="0" outline="0">
        <left/>
        <right/>
        <top style="thin">
          <color theme="1"/>
        </top>
        <bottom/>
      </border>
    </dxf>
    <dxf>
      <font>
        <b val="0"/>
        <i val="0"/>
        <strike val="0"/>
        <condense val="0"/>
        <extend val="0"/>
        <outline val="0"/>
        <shadow val="0"/>
        <u val="none"/>
        <vertAlign val="baseline"/>
        <sz val="11"/>
        <color theme="1"/>
        <name val="Calibri"/>
        <family val="2"/>
        <scheme val="minor"/>
      </font>
      <alignment horizontal="right" vertical="top" textRotation="0" indent="0" justifyLastLine="0" shrinkToFit="0" readingOrder="0"/>
      <border diagonalUp="0" diagonalDown="0" outline="0">
        <left/>
        <right/>
        <top style="thin">
          <color theme="1"/>
        </top>
        <bottom/>
      </border>
    </dxf>
    <dxf>
      <numFmt numFmtId="2" formatCode="0.00"/>
      <alignment horizontal="right" vertical="top" textRotation="0" wrapText="1" indent="0" justifyLastLine="0" shrinkToFit="0" readingOrder="0"/>
      <border diagonalUp="0" diagonalDown="0" outline="0">
        <left/>
        <right/>
        <top style="thin">
          <color theme="1"/>
        </top>
        <bottom/>
      </border>
    </dxf>
    <dxf>
      <numFmt numFmtId="2" formatCode="0.00"/>
      <alignment horizontal="general" vertical="bottom" textRotation="0" wrapText="1" indent="0" justifyLastLine="0" shrinkToFit="0" readingOrder="0"/>
    </dxf>
    <dxf>
      <numFmt numFmtId="2" formatCode="0.00"/>
      <alignment horizontal="right" vertical="top" textRotation="0" wrapText="1" indent="0" justifyLastLine="0" shrinkToFit="0" readingOrder="0"/>
      <border diagonalUp="0" diagonalDown="0" outline="0">
        <left/>
        <right/>
        <top style="thin">
          <color theme="1"/>
        </top>
        <bottom/>
      </border>
    </dxf>
    <dxf>
      <numFmt numFmtId="2" formatCode="0.00"/>
      <alignment horizontal="general" vertical="bottom" textRotation="0" wrapText="1" indent="0" justifyLastLine="0" shrinkToFit="0" readingOrder="0"/>
    </dxf>
    <dxf>
      <alignment horizontal="right" vertical="top" textRotation="0" wrapText="1" indent="0" justifyLastLine="0" shrinkToFit="0" readingOrder="0"/>
      <border diagonalUp="0" diagonalDown="0" outline="0">
        <left/>
        <right/>
        <top style="thin">
          <color theme="1"/>
        </top>
        <bottom/>
      </border>
    </dxf>
    <dxf>
      <alignment horizontal="general" vertical="bottom" textRotation="0" wrapText="1" indent="0" justifyLastLine="0" shrinkToFit="0" readingOrder="0"/>
    </dxf>
    <dxf>
      <alignment horizontal="right" vertical="top" textRotation="0" wrapText="1" indent="0" justifyLastLine="0" shrinkToFit="0" readingOrder="0"/>
      <border diagonalUp="0" diagonalDown="0">
        <left/>
        <right/>
        <top style="thin">
          <color theme="1"/>
        </top>
        <bottom/>
        <vertical/>
        <horizontal/>
      </border>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right" vertical="bottom" textRotation="0" wrapText="1" indent="0" justifyLastLine="0" shrinkToFit="0" readingOrder="0"/>
      <border diagonalUp="0" diagonalDown="0" outline="0">
        <left/>
        <right/>
        <top style="thin">
          <color theme="1"/>
        </top>
        <bottom/>
      </border>
    </dxf>
    <dxf>
      <alignment horizontal="right" vertical="bottom" textRotation="0" wrapText="0" indent="0" justifyLastLine="0" shrinkToFit="0" readingOrder="0"/>
    </dxf>
    <dxf>
      <border outline="0">
        <left style="thin">
          <color theme="1"/>
        </left>
        <top style="thin">
          <color theme="1"/>
        </top>
        <bottom style="thin">
          <color indexed="64"/>
        </bottom>
      </border>
    </dxf>
    <dxf>
      <font>
        <b/>
        <i val="0"/>
        <strike val="0"/>
        <condense val="0"/>
        <extend val="0"/>
        <outline val="0"/>
        <shadow val="0"/>
        <u val="none"/>
        <vertAlign val="baseline"/>
        <sz val="11"/>
        <color theme="0"/>
        <name val="Calibri"/>
        <family val="2"/>
        <scheme val="minor"/>
      </font>
      <fill>
        <patternFill patternType="solid">
          <fgColor theme="1"/>
          <bgColor theme="1"/>
        </patternFill>
      </fill>
      <alignment horizontal="general" vertical="center" textRotation="0" wrapText="1" indent="0" justifyLastLine="0" shrinkToFit="0" readingOrder="0"/>
    </dxf>
    <dxf>
      <font>
        <b val="0"/>
        <i val="0"/>
        <strike val="0"/>
        <condense val="0"/>
        <extend val="0"/>
        <outline val="0"/>
        <shadow val="0"/>
        <u val="none"/>
        <vertAlign val="baseline"/>
        <sz val="11"/>
        <color theme="1"/>
        <name val="Calibri"/>
        <family val="2"/>
        <scheme val="minor"/>
      </font>
      <alignment horizontal="right" vertical="top" textRotation="0" indent="0" justifyLastLine="0" shrinkToFit="0" readingOrder="0"/>
      <border diagonalUp="0" diagonalDown="0" outline="0">
        <left/>
        <right/>
        <top style="thin">
          <color theme="1"/>
        </top>
        <bottom/>
      </border>
    </dxf>
    <dxf>
      <numFmt numFmtId="13" formatCode="0%"/>
    </dxf>
    <dxf>
      <numFmt numFmtId="1" formatCode="0"/>
      <alignment horizontal="right" vertical="top" textRotation="0" indent="0" justifyLastLine="0" shrinkToFit="0" readingOrder="0"/>
      <border diagonalUp="0" diagonalDown="0" outline="0">
        <left/>
        <right/>
        <top style="thin">
          <color theme="1"/>
        </top>
        <bottom/>
      </border>
    </dxf>
    <dxf>
      <numFmt numFmtId="1" formatCode="0"/>
    </dxf>
    <dxf>
      <numFmt numFmtId="1" formatCode="0"/>
      <alignment horizontal="right" vertical="top" textRotation="0" indent="0" justifyLastLine="0" shrinkToFit="0" readingOrder="0"/>
      <border diagonalUp="0" diagonalDown="0" outline="0">
        <left/>
        <right/>
        <top style="thin">
          <color theme="1"/>
        </top>
        <bottom/>
      </border>
    </dxf>
    <dxf>
      <numFmt numFmtId="1" formatCode="0"/>
      <alignment horizontal="right" vertical="top" textRotation="0" indent="0" justifyLastLine="0" shrinkToFit="0" readingOrder="0"/>
      <border diagonalUp="0" diagonalDown="0">
        <left/>
        <right/>
        <top style="thin">
          <color theme="1"/>
        </top>
        <bottom/>
      </border>
    </dxf>
    <dxf>
      <numFmt numFmtId="1" formatCode="0"/>
    </dxf>
    <dxf>
      <numFmt numFmtId="1" formatCode="0"/>
      <alignment horizontal="right" vertical="top" textRotation="0" indent="0" justifyLastLine="0" shrinkToFit="0" readingOrder="0"/>
      <border diagonalUp="0" diagonalDown="0" outline="0">
        <left/>
        <right/>
        <top style="thin">
          <color theme="1"/>
        </top>
        <bottom/>
      </border>
    </dxf>
    <dxf>
      <font>
        <b val="0"/>
        <i val="0"/>
        <strike val="0"/>
        <condense val="0"/>
        <extend val="0"/>
        <outline val="0"/>
        <shadow val="0"/>
        <u val="none"/>
        <vertAlign val="baseline"/>
        <sz val="11"/>
        <color theme="1"/>
        <name val="Calibri"/>
        <family val="2"/>
        <scheme val="minor"/>
      </font>
      <alignment horizontal="right" vertical="top" textRotation="0" indent="0" justifyLastLine="0" shrinkToFit="0" readingOrder="0"/>
      <border diagonalUp="0" diagonalDown="0" outline="0">
        <left/>
        <right/>
        <top style="thin">
          <color theme="1"/>
        </top>
        <bottom/>
      </border>
    </dxf>
    <dxf>
      <numFmt numFmtId="2" formatCode="0.00"/>
      <alignment horizontal="right" vertical="top" textRotation="0" wrapText="1" indent="0" justifyLastLine="0" shrinkToFit="0" readingOrder="0"/>
      <border diagonalUp="0" diagonalDown="0" outline="0">
        <left/>
        <right/>
        <top style="thin">
          <color theme="1"/>
        </top>
        <bottom/>
      </border>
    </dxf>
    <dxf>
      <numFmt numFmtId="2" formatCode="0.00"/>
      <alignment horizontal="general" vertical="bottom" textRotation="0" wrapText="1" indent="0" justifyLastLine="0" shrinkToFit="0" readingOrder="0"/>
    </dxf>
    <dxf>
      <numFmt numFmtId="2" formatCode="0.00"/>
      <alignment horizontal="right" vertical="top" textRotation="0" wrapText="1" indent="0" justifyLastLine="0" shrinkToFit="0" readingOrder="0"/>
      <border diagonalUp="0" diagonalDown="0" outline="0">
        <left/>
        <right/>
        <top style="thin">
          <color theme="1"/>
        </top>
        <bottom/>
      </border>
    </dxf>
    <dxf>
      <numFmt numFmtId="2" formatCode="0.00"/>
      <alignment horizontal="general" vertical="bottom" textRotation="0" wrapText="1" indent="0" justifyLastLine="0" shrinkToFit="0" readingOrder="0"/>
    </dxf>
    <dxf>
      <alignment horizontal="right" vertical="top" textRotation="0" wrapText="1" indent="0" justifyLastLine="0" shrinkToFit="0" readingOrder="0"/>
      <border diagonalUp="0" diagonalDown="0" outline="0">
        <left/>
        <right/>
        <top style="thin">
          <color theme="1"/>
        </top>
        <bottom/>
      </border>
    </dxf>
    <dxf>
      <alignment horizontal="general" vertical="bottom" textRotation="0" wrapText="1" indent="0" justifyLastLine="0" shrinkToFit="0" readingOrder="0"/>
    </dxf>
    <dxf>
      <alignment horizontal="right" vertical="top" textRotation="0" wrapText="1" indent="0" justifyLastLine="0" shrinkToFit="0" readingOrder="0"/>
      <border diagonalUp="0" diagonalDown="0" outline="0">
        <left/>
        <right/>
        <top style="thin">
          <color theme="1"/>
        </top>
        <bottom/>
      </border>
    </dxf>
    <dxf>
      <alignment horizontal="general" vertical="bottom" textRotation="0" wrapText="1" indent="0" justifyLastLine="0" shrinkToFit="0" readingOrder="0"/>
    </dxf>
    <dxf>
      <alignment horizontal="general" vertical="bottom" textRotation="0" wrapText="1" indent="0" justifyLastLine="0" shrinkToFit="0" readingOrder="0"/>
      <border diagonalUp="0" diagonalDown="0" outline="0">
        <left/>
        <right/>
        <top style="thin">
          <color theme="1"/>
        </top>
        <bottom/>
      </border>
    </dxf>
    <dxf>
      <alignment horizontal="general" vertical="bottom" textRotation="0" wrapText="1" indent="0" justifyLastLine="0" shrinkToFit="0" readingOrder="0"/>
    </dxf>
    <dxf>
      <alignment horizontal="general" vertical="bottom" textRotation="0" wrapText="1" indent="0" justifyLastLine="0" shrinkToFit="0" readingOrder="0"/>
      <border diagonalUp="0" diagonalDown="0">
        <left/>
        <right/>
        <top style="thin">
          <color theme="1"/>
        </top>
        <bottom/>
        <vertical/>
        <horizontal/>
      </border>
    </dxf>
    <dxf>
      <alignment horizontal="general" vertical="bottom" textRotation="0" wrapText="1" indent="0" justifyLastLine="0" shrinkToFit="0" readingOrder="0"/>
    </dxf>
    <dxf>
      <alignment horizontal="right" vertical="bottom" textRotation="0" wrapText="1" indent="0" justifyLastLine="0" shrinkToFit="0" readingOrder="0"/>
      <border diagonalUp="0" diagonalDown="0">
        <left/>
        <right/>
        <top style="thin">
          <color theme="1"/>
        </top>
        <bottom/>
        <vertical/>
        <horizontal/>
      </border>
    </dxf>
    <dxf>
      <alignment horizontal="right" vertical="bottom" textRotation="0" wrapText="1" indent="0" justifyLastLine="0" shrinkToFit="0" readingOrder="0"/>
    </dxf>
    <dxf>
      <border outline="0">
        <left style="thin">
          <color theme="1"/>
        </left>
        <top style="thin">
          <color theme="1"/>
        </top>
        <bottom style="thin">
          <color indexed="64"/>
        </bottom>
      </border>
    </dxf>
    <dxf>
      <font>
        <b/>
        <i val="0"/>
        <strike val="0"/>
        <condense val="0"/>
        <extend val="0"/>
        <outline val="0"/>
        <shadow val="0"/>
        <u val="none"/>
        <vertAlign val="baseline"/>
        <sz val="11"/>
        <color theme="0"/>
        <name val="Calibri"/>
        <family val="2"/>
        <scheme val="minor"/>
      </font>
      <fill>
        <patternFill patternType="solid">
          <fgColor theme="1"/>
          <bgColor theme="1"/>
        </patternFill>
      </fill>
      <alignment horizontal="general" vertical="center" textRotation="0" wrapText="1" indent="0" justifyLastLine="0" shrinkToFit="0" readingOrder="0"/>
    </dxf>
    <dxf>
      <alignment horizontal="right" vertical="top" textRotation="0" indent="0" justifyLastLine="0" shrinkToFit="0" readingOrder="0"/>
    </dxf>
    <dxf>
      <numFmt numFmtId="13" formatCode="0%"/>
    </dxf>
    <dxf>
      <numFmt numFmtId="1" formatCode="0"/>
      <alignment horizontal="right" vertical="top" textRotation="0" indent="0" justifyLastLine="0" shrinkToFit="0" readingOrder="0"/>
    </dxf>
    <dxf>
      <numFmt numFmtId="1" formatCode="0"/>
    </dxf>
    <dxf>
      <alignment horizontal="right" vertical="top" textRotation="0" wrapText="1" indent="0" justifyLastLine="0" shrinkToFit="0" readingOrder="0"/>
      <border diagonalUp="0" diagonalDown="0" outline="0">
        <left/>
        <right/>
        <top style="thin">
          <color theme="1"/>
        </top>
        <bottom/>
      </border>
    </dxf>
    <dxf>
      <numFmt numFmtId="165" formatCode="0.0"/>
      <alignment horizontal="right" vertical="top" textRotation="0" wrapText="1" indent="0" justifyLastLine="0" shrinkToFit="0" readingOrder="0"/>
      <border diagonalUp="0" diagonalDown="0" outline="0">
        <left/>
        <right/>
        <top style="thin">
          <color theme="1"/>
        </top>
        <bottom/>
      </border>
    </dxf>
    <dxf>
      <numFmt numFmtId="165" formatCode="0.0"/>
    </dxf>
    <dxf>
      <alignment horizontal="right" vertical="top" textRotation="0" indent="0" justifyLastLine="0" shrinkToFit="0" readingOrder="0"/>
    </dxf>
    <dxf>
      <font>
        <b val="0"/>
        <i val="0"/>
        <strike val="0"/>
        <condense val="0"/>
        <extend val="0"/>
        <outline val="0"/>
        <shadow val="0"/>
        <u val="none"/>
        <vertAlign val="baseline"/>
        <sz val="11"/>
        <color theme="1"/>
        <name val="Calibri"/>
        <family val="2"/>
        <scheme val="minor"/>
      </font>
      <numFmt numFmtId="13" formatCode="0%"/>
      <alignment horizontal="right" vertical="top" textRotation="0" indent="0" justifyLastLine="0" shrinkToFit="0" readingOrder="0"/>
      <border diagonalUp="0" diagonalDown="0" outline="0">
        <left/>
        <right/>
        <top style="thin">
          <color theme="1"/>
        </top>
        <bottom/>
      </border>
    </dxf>
    <dxf>
      <font>
        <b val="0"/>
        <i val="0"/>
        <strike val="0"/>
        <condense val="0"/>
        <extend val="0"/>
        <outline val="0"/>
        <shadow val="0"/>
        <u val="none"/>
        <vertAlign val="baseline"/>
        <sz val="11"/>
        <color theme="1"/>
        <name val="Calibri"/>
        <family val="2"/>
        <scheme val="minor"/>
      </font>
      <numFmt numFmtId="0" formatCode="General"/>
      <border diagonalUp="0" diagonalDown="0" outline="0">
        <left/>
        <right/>
        <top/>
        <bottom/>
      </border>
    </dxf>
    <dxf>
      <numFmt numFmtId="2" formatCode="0.00"/>
      <alignment horizontal="right" vertical="top" textRotation="0" wrapText="1" indent="0" justifyLastLine="0" shrinkToFit="0" readingOrder="0"/>
      <border diagonalUp="0" diagonalDown="0" outline="0">
        <left/>
        <right/>
        <top style="thin">
          <color theme="1"/>
        </top>
        <bottom/>
      </border>
    </dxf>
    <dxf>
      <numFmt numFmtId="2" formatCode="0.00"/>
      <alignment horizontal="general" vertical="bottom" textRotation="0" wrapText="1" indent="0" justifyLastLine="0" shrinkToFit="0" readingOrder="0"/>
      <border diagonalUp="0" diagonalDown="0" outline="0">
        <left/>
        <right/>
        <top/>
        <bottom/>
      </border>
    </dxf>
    <dxf>
      <numFmt numFmtId="2" formatCode="0.00"/>
      <alignment horizontal="right" vertical="top" textRotation="0" wrapText="1" indent="0" justifyLastLine="0" shrinkToFit="0" readingOrder="0"/>
      <border diagonalUp="0" diagonalDown="0" outline="0">
        <left/>
        <right/>
        <top style="thin">
          <color theme="1"/>
        </top>
        <bottom/>
      </border>
    </dxf>
    <dxf>
      <numFmt numFmtId="2" formatCode="0.00"/>
      <alignment horizontal="general" vertical="bottom" textRotation="0" wrapText="1" indent="0" justifyLastLine="0" shrinkToFit="0" readingOrder="0"/>
      <border diagonalUp="0" diagonalDown="0" outline="0">
        <left/>
        <right/>
        <top/>
        <bottom/>
      </border>
    </dxf>
    <dxf>
      <alignment horizontal="right" vertical="top" textRotation="0" wrapText="1" indent="0" justifyLastLine="0" shrinkToFit="0" readingOrder="0"/>
      <border diagonalUp="0" diagonalDown="0" outline="0">
        <left/>
        <right/>
        <top style="thin">
          <color theme="1"/>
        </top>
        <bottom/>
      </border>
    </dxf>
    <dxf>
      <alignment horizontal="general" vertical="bottom" textRotation="0" wrapText="1" indent="0" justifyLastLine="0" shrinkToFit="0" readingOrder="0"/>
      <border diagonalUp="0" diagonalDown="0" outline="0">
        <left/>
        <right/>
        <top/>
        <bottom/>
      </border>
    </dxf>
    <dxf>
      <numFmt numFmtId="165" formatCode="0.0"/>
      <alignment horizontal="right" vertical="top" textRotation="0" wrapText="1" indent="0" justifyLastLine="0" shrinkToFit="0" readingOrder="0"/>
      <border diagonalUp="0" diagonalDown="0" outline="0">
        <left/>
        <right/>
        <top style="thin">
          <color theme="1"/>
        </top>
        <bottom/>
      </border>
    </dxf>
    <dxf>
      <numFmt numFmtId="165" formatCode="0.0"/>
      <alignment horizontal="general" vertical="bottom" textRotation="0" wrapText="1" indent="0" justifyLastLine="0" shrinkToFit="0" readingOrder="0"/>
      <border diagonalUp="0" diagonalDown="0" outline="0">
        <left/>
        <right/>
        <top/>
        <bottom/>
      </border>
    </dxf>
    <dxf>
      <alignment horizontal="general" vertical="bottom" textRotation="0" wrapText="1" indent="0" justifyLastLine="0" shrinkToFit="0" readingOrder="0"/>
      <border diagonalUp="0" diagonalDown="0" outline="0">
        <left/>
        <right/>
        <top style="thin">
          <color theme="1"/>
        </top>
        <bottom/>
      </border>
    </dxf>
    <dxf>
      <alignment horizontal="general" vertical="bottom" textRotation="0" wrapText="1" indent="0" justifyLastLine="0" shrinkToFit="0" readingOrder="0"/>
      <border diagonalUp="0" diagonalDown="0" outline="0">
        <left/>
        <right/>
        <top/>
        <bottom/>
      </border>
    </dxf>
    <dxf>
      <alignment horizontal="general" vertical="bottom" textRotation="0" wrapText="1" indent="0" justifyLastLine="0" shrinkToFit="0" readingOrder="0"/>
      <border diagonalUp="0" diagonalDown="0">
        <left/>
        <right/>
        <top style="thin">
          <color theme="1"/>
        </top>
        <bottom/>
        <vertical/>
        <horizontal/>
      </border>
    </dxf>
    <dxf>
      <alignment horizontal="general" vertical="bottom" textRotation="0" wrapText="1" indent="0" justifyLastLine="0" shrinkToFit="0" readingOrder="0"/>
      <border diagonalUp="0" diagonalDown="0" outline="0">
        <left/>
        <right/>
        <top/>
        <bottom/>
      </border>
    </dxf>
    <dxf>
      <alignment horizontal="right" vertical="bottom" textRotation="0" wrapText="1" indent="0" justifyLastLine="0" shrinkToFit="0" readingOrder="0"/>
      <border diagonalUp="0" diagonalDown="0">
        <left/>
        <right/>
        <top style="thin">
          <color theme="1"/>
        </top>
        <bottom/>
        <vertical/>
        <horizontal/>
      </border>
    </dxf>
    <dxf>
      <alignment horizontal="right" vertical="bottom" textRotation="0" wrapText="1" indent="0" justifyLastLine="0" shrinkToFit="0" readingOrder="0"/>
      <border diagonalUp="0" diagonalDown="0" outline="0">
        <left/>
        <right/>
        <top/>
        <bottom/>
      </border>
    </dxf>
    <dxf>
      <border outline="0">
        <left style="thin">
          <color theme="1"/>
        </left>
        <top style="thin">
          <color theme="1"/>
        </top>
      </border>
    </dxf>
    <dxf>
      <font>
        <b/>
        <i val="0"/>
        <strike val="0"/>
        <condense val="0"/>
        <extend val="0"/>
        <outline val="0"/>
        <shadow val="0"/>
        <u val="none"/>
        <vertAlign val="baseline"/>
        <sz val="11"/>
        <color theme="0"/>
        <name val="Calibri"/>
        <family val="2"/>
        <scheme val="minor"/>
      </font>
      <fill>
        <patternFill patternType="solid">
          <fgColor theme="1"/>
          <bgColor theme="1"/>
        </patternFill>
      </fill>
      <alignment horizontal="general" vertical="center" textRotation="0" wrapText="1" indent="0" justifyLastLine="0" shrinkToFit="0" readingOrder="0"/>
    </dxf>
    <dxf>
      <font>
        <b val="0"/>
        <i val="0"/>
        <strike val="0"/>
        <condense val="0"/>
        <extend val="0"/>
        <outline val="0"/>
        <shadow val="0"/>
        <u val="none"/>
        <vertAlign val="baseline"/>
        <sz val="11"/>
        <color theme="1"/>
        <name val="Calibri"/>
        <family val="2"/>
        <scheme val="minor"/>
      </font>
      <numFmt numFmtId="13" formatCode="0%"/>
      <alignment horizontal="right" vertical="top" textRotation="0" indent="0" justifyLastLine="0" shrinkToFit="0" readingOrder="0"/>
    </dxf>
    <dxf>
      <numFmt numFmtId="13" formatCode="0%"/>
    </dxf>
    <dxf>
      <numFmt numFmtId="165" formatCode="0.0"/>
      <alignment horizontal="right" vertical="top" textRotation="0" indent="0" justifyLastLine="0" shrinkToFit="0" readingOrder="0"/>
    </dxf>
    <dxf>
      <numFmt numFmtId="165" formatCode="0.0"/>
    </dxf>
    <dxf>
      <alignment horizontal="right" vertical="top" textRotation="0" indent="0" justifyLastLine="0" shrinkToFit="0" readingOrder="0"/>
    </dxf>
    <dxf>
      <alignment horizontal="right" vertical="top" textRotation="0" indent="0" justifyLastLine="0" shrinkToFit="0" readingOrder="0"/>
    </dxf>
    <dxf>
      <alignment horizontal="right" vertical="top" textRotation="0" indent="0" justifyLastLine="0" shrinkToFit="0" readingOrder="0"/>
    </dxf>
    <dxf>
      <font>
        <b val="0"/>
        <i val="0"/>
        <strike val="0"/>
        <condense val="0"/>
        <extend val="0"/>
        <outline val="0"/>
        <shadow val="0"/>
        <u val="none"/>
        <vertAlign val="baseline"/>
        <sz val="11"/>
        <color theme="1"/>
        <name val="Calibri"/>
        <family val="2"/>
        <scheme val="minor"/>
      </font>
      <alignment horizontal="right" vertical="top" textRotation="0" indent="0" justifyLastLine="0" shrinkToFit="0" readingOrder="0"/>
    </dxf>
    <dxf>
      <alignment horizontal="right" vertical="top" textRotation="0" wrapText="1" indent="0" justifyLastLine="0" shrinkToFit="0" readingOrder="0"/>
    </dxf>
    <dxf>
      <alignment horizontal="general" vertical="bottom" textRotation="0" wrapText="1" indent="0" justifyLastLine="0" shrinkToFit="0" readingOrder="0"/>
    </dxf>
    <dxf>
      <numFmt numFmtId="0" formatCode="General"/>
      <alignment horizontal="right" vertical="top" textRotation="0" wrapText="1" indent="0" justifyLastLine="0" shrinkToFit="0" readingOrder="0"/>
    </dxf>
    <dxf>
      <alignment horizontal="right" vertical="bottom" textRotation="0" wrapText="1" indent="0" justifyLastLine="0" shrinkToFit="0" readingOrder="0"/>
    </dxf>
    <dxf>
      <alignment horizontal="right" vertical="top" textRotation="0" wrapText="1" indent="0" justifyLastLine="0" shrinkToFit="0" readingOrder="0"/>
    </dxf>
    <dxf>
      <alignment horizontal="right" vertical="bottom" textRotation="0" wrapText="1" indent="0" justifyLastLine="0" shrinkToFit="0" readingOrder="0"/>
    </dxf>
    <dxf>
      <alignment horizontal="right" vertical="top" textRotation="0" wrapText="1" indent="0" justifyLastLine="0" shrinkToFit="0" readingOrder="0"/>
    </dxf>
    <dxf>
      <alignment horizontal="right" vertical="bottom" textRotation="0" wrapText="1" indent="0" justifyLastLine="0" shrinkToFit="0" readingOrder="0"/>
    </dxf>
    <dxf>
      <alignment textRotation="0" wrapText="1" indent="0" justifyLastLine="0" shrinkToFit="0" readingOrder="0"/>
    </dxf>
    <dxf>
      <border outline="0">
        <left style="thin">
          <color theme="1"/>
        </left>
        <top style="thin">
          <color theme="1"/>
        </top>
      </border>
    </dxf>
    <dxf>
      <font>
        <b/>
        <i val="0"/>
        <strike val="0"/>
        <condense val="0"/>
        <extend val="0"/>
        <outline val="0"/>
        <shadow val="0"/>
        <u val="none"/>
        <vertAlign val="baseline"/>
        <sz val="11"/>
        <color theme="0"/>
        <name val="Calibri"/>
        <family val="2"/>
        <scheme val="minor"/>
      </font>
      <fill>
        <patternFill patternType="solid">
          <fgColor theme="1"/>
          <bgColor theme="1"/>
        </patternFill>
      </fill>
      <alignment horizontal="general" vertical="center" textRotation="0" wrapText="1" indent="0" justifyLastLine="0" shrinkToFit="0" readingOrder="0"/>
    </dxf>
    <dxf>
      <font>
        <b val="0"/>
        <i val="0"/>
        <strike val="0"/>
        <condense val="0"/>
        <extend val="0"/>
        <outline val="0"/>
        <shadow val="0"/>
        <u val="none"/>
        <vertAlign val="baseline"/>
        <sz val="11"/>
        <color theme="1"/>
        <name val="Calibri"/>
        <family val="2"/>
        <scheme val="minor"/>
      </font>
      <alignment horizontal="right" vertical="top" textRotation="0" wrapText="0" indent="0" justifyLastLine="0" shrinkToFit="0" readingOrder="0"/>
      <border diagonalUp="0" diagonalDown="0">
        <left/>
        <right/>
        <top style="thin">
          <color theme="1"/>
        </top>
        <bottom/>
        <vertical/>
        <horizontal/>
      </border>
    </dxf>
    <dxf>
      <numFmt numFmtId="13" formatCode="0%"/>
      <alignment horizontal="right" vertical="top" textRotation="0" wrapText="0" indent="0" justifyLastLine="0" shrinkToFit="0" readingOrder="0"/>
    </dxf>
    <dxf>
      <numFmt numFmtId="2" formatCode="0.00"/>
      <alignment horizontal="right" vertical="top" textRotation="0" wrapText="0" indent="0" justifyLastLine="0" shrinkToFit="0" readingOrder="0"/>
      <border diagonalUp="0" diagonalDown="0">
        <left/>
        <right/>
        <top style="thin">
          <color theme="1"/>
        </top>
        <bottom/>
        <vertical/>
        <horizontal/>
      </border>
    </dxf>
    <dxf>
      <alignment horizontal="right" vertical="top" textRotation="0" wrapText="0" indent="0" justifyLastLine="0" shrinkToFit="0" readingOrder="0"/>
    </dxf>
    <dxf>
      <alignment horizontal="right" vertical="top" textRotation="0" wrapText="0" indent="0" justifyLastLine="0" shrinkToFit="0" readingOrder="0"/>
      <border diagonalUp="0" diagonalDown="0">
        <left/>
        <right/>
        <top style="thin">
          <color theme="1"/>
        </top>
        <bottom/>
        <vertical/>
        <horizontal/>
      </border>
    </dxf>
    <dxf>
      <alignment horizontal="right" vertical="top" textRotation="0" wrapText="0" indent="0" justifyLastLine="0" shrinkToFit="0" readingOrder="0"/>
    </dxf>
    <dxf>
      <alignment horizontal="right" vertical="top" textRotation="0" wrapText="0" indent="0" justifyLastLine="0" shrinkToFit="0" readingOrder="0"/>
      <border diagonalUp="0" diagonalDown="0">
        <left/>
        <right/>
        <top style="thin">
          <color theme="1"/>
        </top>
        <bottom/>
        <vertical/>
        <horizontal/>
      </border>
    </dxf>
    <dxf>
      <alignment horizontal="right" vertical="top" textRotation="0" wrapText="0" indent="0" justifyLastLine="0" shrinkToFit="0" readingOrder="0"/>
    </dxf>
    <dxf>
      <alignment horizontal="right" vertical="top" textRotation="0" wrapText="0" indent="0" justifyLastLine="0" shrinkToFit="0" readingOrder="0"/>
      <border diagonalUp="0" diagonalDown="0">
        <left/>
        <right/>
        <top style="thin">
          <color theme="1"/>
        </top>
        <bottom/>
        <vertical/>
        <horizontal/>
      </border>
    </dxf>
    <dxf>
      <alignment horizontal="right" vertical="top" textRotation="0" wrapText="0" indent="0" justifyLastLine="0" shrinkToFit="0" readingOrder="0"/>
    </dxf>
    <dxf>
      <font>
        <b val="0"/>
        <i val="0"/>
        <strike val="0"/>
        <condense val="0"/>
        <extend val="0"/>
        <outline val="0"/>
        <shadow val="0"/>
        <u val="none"/>
        <vertAlign val="baseline"/>
        <sz val="11"/>
        <color theme="1"/>
        <name val="Calibri"/>
        <family val="2"/>
        <scheme val="minor"/>
      </font>
      <numFmt numFmtId="164" formatCode="0.0%"/>
      <alignment horizontal="right" vertical="top" textRotation="0" wrapText="0" indent="0" justifyLastLine="0" shrinkToFit="0" readingOrder="0"/>
      <border diagonalUp="0" diagonalDown="0">
        <left/>
        <right/>
        <top style="thin">
          <color theme="1"/>
        </top>
        <bottom/>
        <vertical/>
        <horizontal/>
      </border>
    </dxf>
    <dxf>
      <alignment horizontal="right" vertical="top" textRotation="0" wrapText="0" indent="0" justifyLastLine="0" shrinkToFit="0" readingOrder="0"/>
    </dxf>
    <dxf>
      <numFmt numFmtId="2" formatCode="0.00"/>
      <alignment horizontal="right" vertical="top" textRotation="0" wrapText="1" indent="0" justifyLastLine="0" shrinkToFit="0" readingOrder="0"/>
      <border diagonalUp="0" diagonalDown="0">
        <left/>
        <right/>
        <top style="thin">
          <color theme="1"/>
        </top>
        <bottom/>
        <vertical/>
        <horizontal/>
      </border>
    </dxf>
    <dxf>
      <numFmt numFmtId="2" formatCode="0.00"/>
      <alignment horizontal="right" vertical="top" textRotation="0" wrapText="1" indent="0" justifyLastLine="0" shrinkToFit="0" readingOrder="0"/>
    </dxf>
    <dxf>
      <numFmt numFmtId="2" formatCode="0.00"/>
      <alignment horizontal="right" vertical="top" textRotation="0" wrapText="1" indent="0" justifyLastLine="0" shrinkToFit="0" readingOrder="0"/>
      <border diagonalUp="0" diagonalDown="0">
        <left/>
        <right/>
        <top style="thin">
          <color theme="1"/>
        </top>
        <bottom/>
        <vertical/>
        <horizontal/>
      </border>
    </dxf>
    <dxf>
      <numFmt numFmtId="2" formatCode="0.00"/>
      <alignment horizontal="right" vertical="top" textRotation="0" wrapText="1" indent="0" justifyLastLine="0" shrinkToFit="0" readingOrder="0"/>
    </dxf>
    <dxf>
      <alignment horizontal="right" vertical="top" textRotation="0" wrapText="1" indent="0" justifyLastLine="0" shrinkToFit="0" readingOrder="0"/>
      <border diagonalUp="0" diagonalDown="0">
        <left/>
        <right/>
        <top style="thin">
          <color theme="1"/>
        </top>
        <bottom/>
        <vertical/>
        <horizontal/>
      </border>
    </dxf>
    <dxf>
      <alignment horizontal="right" vertical="top" textRotation="0" wrapText="1" indent="0" justifyLastLine="0" shrinkToFit="0" readingOrder="0"/>
    </dxf>
    <dxf>
      <alignment horizontal="right" vertical="top" textRotation="0" wrapText="1" indent="0" justifyLastLine="0" shrinkToFit="0" readingOrder="0"/>
      <border diagonalUp="0" diagonalDown="0">
        <left/>
        <right/>
        <top style="thin">
          <color theme="1"/>
        </top>
        <bottom/>
        <vertical/>
        <horizontal/>
      </border>
    </dxf>
    <dxf>
      <alignment horizontal="right" vertical="top" textRotation="0" wrapText="1" indent="0" justifyLastLine="0" shrinkToFit="0" readingOrder="0"/>
    </dxf>
    <dxf>
      <alignment vertical="top" textRotation="0" wrapText="1" indent="0" justifyLastLine="0" shrinkToFit="0" readingOrder="0"/>
    </dxf>
    <dxf>
      <border outline="0">
        <left style="thin">
          <color theme="1"/>
        </left>
        <top style="thin">
          <color theme="1"/>
        </top>
      </border>
    </dxf>
    <dxf>
      <alignment horizontal="right" vertical="top" textRotation="0" wrapText="0" indent="0" justifyLastLine="0" shrinkToFit="0" readingOrder="0"/>
    </dxf>
    <dxf>
      <font>
        <b/>
        <i val="0"/>
        <strike val="0"/>
        <condense val="0"/>
        <extend val="0"/>
        <outline val="0"/>
        <shadow val="0"/>
        <u val="none"/>
        <vertAlign val="baseline"/>
        <sz val="11"/>
        <color theme="0"/>
        <name val="Calibri"/>
        <family val="2"/>
        <scheme val="minor"/>
      </font>
      <fill>
        <patternFill patternType="solid">
          <fgColor theme="1"/>
          <bgColor theme="1"/>
        </patternFill>
      </fill>
      <alignment horizontal="general" vertical="center" textRotation="0" wrapText="1" indent="0" justifyLastLine="0" shrinkToFit="0" readingOrder="0"/>
    </dxf>
    <dxf>
      <font>
        <b val="0"/>
        <i val="0"/>
        <strike val="0"/>
        <condense val="0"/>
        <extend val="0"/>
        <outline val="0"/>
        <shadow val="0"/>
        <u val="none"/>
        <vertAlign val="baseline"/>
        <sz val="13"/>
        <color theme="1"/>
        <name val="Calibri"/>
        <family val="2"/>
        <scheme val="minor"/>
      </font>
      <numFmt numFmtId="13" formatCode="0%"/>
      <alignment horizontal="right" vertical="top" textRotation="0" wrapText="0" indent="0" justifyLastLine="0" shrinkToFit="0" readingOrder="0"/>
      <border diagonalUp="0" diagonalDown="0" outline="0">
        <left/>
        <right/>
        <top style="thin">
          <color theme="1"/>
        </top>
        <bottom/>
      </border>
    </dxf>
    <dxf>
      <font>
        <b val="0"/>
        <i val="0"/>
        <strike val="0"/>
        <condense val="0"/>
        <extend val="0"/>
        <outline val="0"/>
        <shadow val="0"/>
        <u val="none"/>
        <vertAlign val="baseline"/>
        <sz val="13"/>
        <color theme="1"/>
        <name val="Calibri"/>
        <family val="2"/>
        <scheme val="minor"/>
      </font>
      <numFmt numFmtId="13" formatCode="0%"/>
      <alignment horizontal="right" vertical="top" textRotation="0" wrapText="0" indent="0" justifyLastLine="0" shrinkToFit="0" readingOrder="0"/>
    </dxf>
    <dxf>
      <font>
        <strike val="0"/>
        <outline val="0"/>
        <shadow val="0"/>
        <u val="none"/>
        <vertAlign val="baseline"/>
        <sz val="13"/>
        <name val="Calibri"/>
        <family val="2"/>
        <scheme val="minor"/>
      </font>
      <numFmt numFmtId="165" formatCode="0.0"/>
      <alignment horizontal="right" vertical="top" textRotation="0" wrapText="1" indent="0" justifyLastLine="0" shrinkToFit="0" readingOrder="0"/>
      <border diagonalUp="0" diagonalDown="0" outline="0">
        <left/>
        <right/>
        <top style="thin">
          <color theme="1"/>
        </top>
        <bottom/>
      </border>
    </dxf>
    <dxf>
      <font>
        <strike val="0"/>
        <outline val="0"/>
        <shadow val="0"/>
        <u val="none"/>
        <vertAlign val="baseline"/>
        <sz val="13"/>
        <name val="Calibri"/>
        <family val="2"/>
        <scheme val="minor"/>
      </font>
      <numFmt numFmtId="165" formatCode="0.0"/>
      <alignment horizontal="right" vertical="top" textRotation="0" wrapText="1" indent="0" justifyLastLine="0" shrinkToFit="0" readingOrder="0"/>
    </dxf>
    <dxf>
      <font>
        <strike val="0"/>
        <outline val="0"/>
        <shadow val="0"/>
        <u val="none"/>
        <vertAlign val="baseline"/>
        <sz val="13"/>
        <name val="Calibri"/>
        <family val="2"/>
        <scheme val="minor"/>
      </font>
      <alignment horizontal="right" vertical="top" textRotation="0" wrapText="0" indent="0" justifyLastLine="0" shrinkToFit="0" readingOrder="0"/>
      <border diagonalUp="0" diagonalDown="0" outline="0">
        <left/>
        <right/>
        <top style="thin">
          <color theme="1"/>
        </top>
        <bottom/>
      </border>
    </dxf>
    <dxf>
      <font>
        <strike val="0"/>
        <outline val="0"/>
        <shadow val="0"/>
        <u val="none"/>
        <vertAlign val="baseline"/>
        <sz val="13"/>
        <name val="Calibri"/>
        <family val="2"/>
        <scheme val="minor"/>
      </font>
      <alignment horizontal="right" vertical="top" textRotation="0" wrapText="0" indent="0" justifyLastLine="0" shrinkToFit="0" readingOrder="0"/>
    </dxf>
    <dxf>
      <font>
        <strike val="0"/>
        <outline val="0"/>
        <shadow val="0"/>
        <u val="none"/>
        <vertAlign val="baseline"/>
        <sz val="13"/>
        <name val="Calibri"/>
        <family val="2"/>
        <scheme val="minor"/>
      </font>
      <alignment horizontal="right" vertical="top" textRotation="0" wrapText="0" indent="0" justifyLastLine="0" shrinkToFit="0" readingOrder="0"/>
      <border diagonalUp="0" diagonalDown="0" outline="0">
        <left/>
        <right/>
        <top style="thin">
          <color theme="1"/>
        </top>
        <bottom/>
      </border>
    </dxf>
    <dxf>
      <font>
        <strike val="0"/>
        <outline val="0"/>
        <shadow val="0"/>
        <u val="none"/>
        <vertAlign val="baseline"/>
        <sz val="13"/>
        <name val="Calibri"/>
        <family val="2"/>
        <scheme val="minor"/>
      </font>
      <alignment horizontal="right" vertical="top" textRotation="0" wrapText="0" indent="0" justifyLastLine="0" shrinkToFit="0" readingOrder="0"/>
    </dxf>
    <dxf>
      <font>
        <strike val="0"/>
        <outline val="0"/>
        <shadow val="0"/>
        <u val="none"/>
        <vertAlign val="baseline"/>
        <sz val="13"/>
        <name val="Calibri"/>
        <family val="2"/>
        <scheme val="minor"/>
      </font>
      <alignment horizontal="right" vertical="top" textRotation="0" wrapText="0" indent="0" justifyLastLine="0" shrinkToFit="0" readingOrder="0"/>
      <border diagonalUp="0" diagonalDown="0" outline="0">
        <left/>
        <right/>
        <top style="thin">
          <color theme="1"/>
        </top>
        <bottom/>
      </border>
    </dxf>
    <dxf>
      <font>
        <strike val="0"/>
        <outline val="0"/>
        <shadow val="0"/>
        <u val="none"/>
        <vertAlign val="baseline"/>
        <sz val="13"/>
        <name val="Calibri"/>
        <family val="2"/>
        <scheme val="minor"/>
      </font>
      <alignment horizontal="right" vertical="top" textRotation="0" wrapText="0" indent="0" justifyLastLine="0" shrinkToFit="0" readingOrder="0"/>
    </dxf>
    <dxf>
      <font>
        <b val="0"/>
        <i val="0"/>
        <strike val="0"/>
        <condense val="0"/>
        <extend val="0"/>
        <outline val="0"/>
        <shadow val="0"/>
        <u val="none"/>
        <vertAlign val="baseline"/>
        <sz val="13"/>
        <color theme="1"/>
        <name val="Calibri"/>
        <family val="2"/>
        <scheme val="minor"/>
      </font>
      <numFmt numFmtId="164" formatCode="0.0%"/>
      <alignment horizontal="right" vertical="top" textRotation="0" wrapText="0" indent="0" justifyLastLine="0" shrinkToFit="0" readingOrder="0"/>
      <border diagonalUp="0" diagonalDown="0" outline="0">
        <left/>
        <right/>
        <top style="thin">
          <color theme="1"/>
        </top>
        <bottom/>
      </border>
    </dxf>
    <dxf>
      <font>
        <b val="0"/>
        <i val="0"/>
        <strike val="0"/>
        <condense val="0"/>
        <extend val="0"/>
        <outline val="0"/>
        <shadow val="0"/>
        <u val="none"/>
        <vertAlign val="baseline"/>
        <sz val="13"/>
        <color theme="1"/>
        <name val="Calibri"/>
        <family val="2"/>
        <scheme val="minor"/>
      </font>
      <alignment horizontal="right" vertical="top" textRotation="0" wrapText="0" indent="0" justifyLastLine="0" shrinkToFit="0" readingOrder="0"/>
    </dxf>
    <dxf>
      <font>
        <strike val="0"/>
        <outline val="0"/>
        <shadow val="0"/>
        <u val="none"/>
        <vertAlign val="baseline"/>
        <sz val="13"/>
        <name val="Calibri"/>
        <family val="2"/>
        <scheme val="minor"/>
      </font>
      <numFmt numFmtId="165" formatCode="0.0"/>
      <alignment horizontal="right" vertical="top" textRotation="0" wrapText="1" indent="0" justifyLastLine="0" shrinkToFit="0" readingOrder="0"/>
      <border diagonalUp="0" diagonalDown="0" outline="0">
        <left/>
        <right/>
        <top style="thin">
          <color theme="1"/>
        </top>
        <bottom/>
      </border>
    </dxf>
    <dxf>
      <font>
        <strike val="0"/>
        <outline val="0"/>
        <shadow val="0"/>
        <u val="none"/>
        <vertAlign val="baseline"/>
        <sz val="13"/>
        <name val="Calibri"/>
        <family val="2"/>
        <scheme val="minor"/>
      </font>
      <numFmt numFmtId="165" formatCode="0.0"/>
      <alignment horizontal="right" vertical="top" textRotation="0" wrapText="1" indent="0" justifyLastLine="0" shrinkToFit="0" readingOrder="0"/>
    </dxf>
    <dxf>
      <font>
        <strike val="0"/>
        <outline val="0"/>
        <shadow val="0"/>
        <u val="none"/>
        <vertAlign val="baseline"/>
        <sz val="13"/>
        <name val="Calibri"/>
        <family val="2"/>
        <scheme val="minor"/>
      </font>
      <numFmt numFmtId="165" formatCode="0.0"/>
      <alignment horizontal="right" vertical="top" textRotation="0" wrapText="1" indent="0" justifyLastLine="0" shrinkToFit="0" readingOrder="0"/>
      <border diagonalUp="0" diagonalDown="0" outline="0">
        <left/>
        <right/>
        <top style="thin">
          <color theme="1"/>
        </top>
        <bottom/>
      </border>
    </dxf>
    <dxf>
      <font>
        <strike val="0"/>
        <outline val="0"/>
        <shadow val="0"/>
        <u val="none"/>
        <vertAlign val="baseline"/>
        <sz val="13"/>
        <name val="Calibri"/>
        <family val="2"/>
        <scheme val="minor"/>
      </font>
      <numFmt numFmtId="165" formatCode="0.0"/>
      <alignment horizontal="right" vertical="top" textRotation="0" wrapText="1" indent="0" justifyLastLine="0" shrinkToFit="0" readingOrder="0"/>
    </dxf>
    <dxf>
      <font>
        <strike val="0"/>
        <outline val="0"/>
        <shadow val="0"/>
        <u val="none"/>
        <vertAlign val="baseline"/>
        <sz val="13"/>
        <name val="Calibri"/>
        <family val="2"/>
        <scheme val="minor"/>
      </font>
      <numFmt numFmtId="1" formatCode="0"/>
      <alignment horizontal="right" vertical="top" textRotation="0" wrapText="1" indent="0" justifyLastLine="0" shrinkToFit="0" readingOrder="0"/>
      <border diagonalUp="0" diagonalDown="0" outline="0">
        <left/>
        <right/>
        <top style="thin">
          <color theme="1"/>
        </top>
        <bottom/>
      </border>
    </dxf>
    <dxf>
      <font>
        <strike val="0"/>
        <outline val="0"/>
        <shadow val="0"/>
        <u val="none"/>
        <vertAlign val="baseline"/>
        <sz val="13"/>
        <name val="Calibri"/>
        <family val="2"/>
        <scheme val="minor"/>
      </font>
      <alignment horizontal="right" vertical="top" textRotation="0" wrapText="1" indent="0" justifyLastLine="0" shrinkToFit="0" readingOrder="0"/>
    </dxf>
    <dxf>
      <font>
        <strike val="0"/>
        <outline val="0"/>
        <shadow val="0"/>
        <u val="none"/>
        <vertAlign val="baseline"/>
        <sz val="13"/>
        <name val="Calibri"/>
        <family val="2"/>
        <scheme val="minor"/>
      </font>
      <numFmt numFmtId="1" formatCode="0"/>
      <alignment horizontal="right" vertical="top" textRotation="0" wrapText="1" indent="0" justifyLastLine="0" shrinkToFit="0" readingOrder="0"/>
      <border diagonalUp="0" diagonalDown="0" outline="0">
        <left/>
        <right/>
        <top style="thin">
          <color theme="1"/>
        </top>
        <bottom/>
      </border>
    </dxf>
    <dxf>
      <font>
        <strike val="0"/>
        <outline val="0"/>
        <shadow val="0"/>
        <u val="none"/>
        <vertAlign val="baseline"/>
        <sz val="13"/>
        <name val="Calibri"/>
        <family val="2"/>
        <scheme val="minor"/>
      </font>
      <numFmt numFmtId="1" formatCode="0"/>
      <alignment horizontal="right" vertical="top" textRotation="0" wrapText="1" indent="0" justifyLastLine="0" shrinkToFit="0" readingOrder="0"/>
    </dxf>
    <dxf>
      <font>
        <strike val="0"/>
        <outline val="0"/>
        <shadow val="0"/>
        <u val="none"/>
        <vertAlign val="baseline"/>
        <sz val="13"/>
        <name val="Calibri"/>
        <family val="2"/>
        <scheme val="minor"/>
      </font>
      <alignment horizontal="left" vertical="top" textRotation="0" wrapText="1" indent="0" justifyLastLine="0" shrinkToFit="0" readingOrder="0"/>
      <border diagonalUp="0" diagonalDown="0" outline="0">
        <left/>
        <right/>
        <top style="thin">
          <color theme="1"/>
        </top>
        <bottom style="thin">
          <color indexed="64"/>
        </bottom>
      </border>
    </dxf>
    <dxf>
      <font>
        <strike val="0"/>
        <outline val="0"/>
        <shadow val="0"/>
        <u val="none"/>
        <vertAlign val="baseline"/>
        <sz val="13"/>
        <name val="Calibri"/>
        <family val="2"/>
        <scheme val="minor"/>
      </font>
      <alignment horizontal="left" vertical="top" textRotation="0" wrapText="1" indent="0" justifyLastLine="0" shrinkToFit="0" readingOrder="0"/>
    </dxf>
    <dxf>
      <font>
        <strike val="0"/>
        <outline val="0"/>
        <shadow val="0"/>
        <u val="none"/>
        <vertAlign val="baseline"/>
        <sz val="13"/>
        <name val="Calibri"/>
        <family val="2"/>
        <scheme val="minor"/>
      </font>
    </dxf>
    <dxf>
      <font>
        <strike val="0"/>
        <outline val="0"/>
        <shadow val="0"/>
        <u val="none"/>
        <vertAlign val="baseline"/>
        <sz val="13"/>
        <name val="Calibri"/>
        <family val="2"/>
        <scheme val="minor"/>
      </font>
    </dxf>
    <dxf>
      <font>
        <b val="0"/>
        <i val="0"/>
        <strike val="0"/>
        <condense val="0"/>
        <extend val="0"/>
        <outline val="0"/>
        <shadow val="0"/>
        <u val="none"/>
        <vertAlign val="baseline"/>
        <sz val="13"/>
        <color auto="1"/>
        <name val="Calibri"/>
        <family val="2"/>
        <scheme val="minor"/>
      </font>
      <alignment horizontal="right" vertical="top" textRotation="0" wrapText="0" indent="0" justifyLastLine="0" shrinkToFit="0" readingOrder="0"/>
      <border diagonalUp="0" diagonalDown="0" outline="0">
        <left/>
        <right/>
        <top style="thin">
          <color theme="1"/>
        </top>
        <bottom/>
      </border>
    </dxf>
    <dxf>
      <font>
        <b val="0"/>
        <i val="0"/>
        <strike val="0"/>
        <condense val="0"/>
        <extend val="0"/>
        <outline val="0"/>
        <shadow val="0"/>
        <u val="none"/>
        <vertAlign val="baseline"/>
        <sz val="13"/>
        <color auto="1"/>
        <name val="Calibri"/>
        <family val="2"/>
        <scheme val="minor"/>
      </font>
      <alignment horizontal="right" vertical="top" textRotation="0" wrapText="0" indent="0" justifyLastLine="0" shrinkToFit="0" readingOrder="0"/>
    </dxf>
    <dxf>
      <border outline="0">
        <left style="thin">
          <color theme="1"/>
        </left>
        <top style="thin">
          <color theme="1"/>
        </top>
      </border>
    </dxf>
    <dxf>
      <alignment horizontal="right" vertical="top" textRotation="0" wrapText="0" indent="0" justifyLastLine="0" shrinkToFit="0" readingOrder="0"/>
    </dxf>
    <dxf>
      <font>
        <b/>
        <i val="0"/>
        <strike val="0"/>
        <condense val="0"/>
        <extend val="0"/>
        <outline val="0"/>
        <shadow val="0"/>
        <u val="none"/>
        <vertAlign val="baseline"/>
        <sz val="11"/>
        <color theme="0"/>
        <name val="Calibri"/>
        <family val="2"/>
        <scheme val="minor"/>
      </font>
      <fill>
        <patternFill patternType="solid">
          <fgColor theme="1"/>
          <bgColor theme="1"/>
        </patternFill>
      </fill>
      <alignment horizontal="general" vertical="center" textRotation="0" wrapText="1"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microsoft.com/office/2017/10/relationships/person" Target="persons/person.xml"/></Relationships>
</file>

<file path=xl/persons/person.xml><?xml version="1.0" encoding="utf-8"?>
<personList xmlns="http://schemas.microsoft.com/office/spreadsheetml/2018/threadedcomments" xmlns:x="http://schemas.openxmlformats.org/spreadsheetml/2006/main">
  <person displayName="Walk, Michael" id="{05F05F4F-D564-48EF-93D1-55CB58E44B71}" userId="S::M-Walk@tti.tamu.edu::2815e292-fbd2-43bc-8437-f7c8a8a3ac1b" providerId="AD"/>
</personList>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F41DD8B2-7B2A-492A-88C5-401EDC63E597}" name="Operator" displayName="Operator" ref="A2:M11" totalsRowCount="1" headerRowDxfId="306" dataDxfId="305" tableBorderDxfId="304">
  <autoFilter ref="A2:M10" xr:uid="{F41DD8B2-7B2A-492A-88C5-401EDC63E597}"/>
  <tableColumns count="13">
    <tableColumn id="1" xr3:uid="{8BA1D1D1-FB50-44B4-B039-412FDD750B61}" name="Task ID" totalsRowLabel="Total" dataDxfId="302" totalsRowDxfId="303"/>
    <tableColumn id="2" xr3:uid="{644A2BEA-AC2C-4BFB-B18F-2D8AAFDE2A41}" name="Title" dataDxfId="300" totalsRowDxfId="301"/>
    <tableColumn id="3" xr3:uid="{8C226A54-5D23-43DB-A6B4-6AEB56ADF36F}" name="Task Description" dataDxfId="298" totalsRowDxfId="299"/>
    <tableColumn id="4" xr3:uid="{CC7F01F0-46F3-4EBC-8A48-53ADC79ACB81}" name="Level of Effort (Minutes) " totalsRowFunction="sum" dataDxfId="296" totalsRowDxfId="297"/>
    <tableColumn id="5" xr3:uid="{5494E5D7-4245-47BA-8B47-7B32D8C3FACC}" name="Frequency (Days in a Year)" dataDxfId="294" totalsRowDxfId="295"/>
    <tableColumn id="6" xr3:uid="{D640E00D-872C-4D9D-8D99-C4C551CBB58C}" name="Effective Annual Hours" totalsRowFunction="sum" dataDxfId="292" totalsRowDxfId="293">
      <calculatedColumnFormula>(Operator[[#This Row],[Level of Effort (Minutes) ]]*Operator[[#This Row],[Frequency (Days in a Year)]])/60</calculatedColumnFormula>
    </tableColumn>
    <tableColumn id="7" xr3:uid="{401372B4-29E2-4F3D-8C42-386A4D4A0238}" name="Effective Daily Hours" totalsRowFunction="sum" dataDxfId="290" totalsRowDxfId="291">
      <calculatedColumnFormula>Operator[[#This Row],[Effective Annual Hours]]/260</calculatedColumnFormula>
    </tableColumn>
    <tableColumn id="8" xr3:uid="{757D6AB4-61ED-497A-88CD-955A29091B21}" name="% of Annual Hours" dataDxfId="288" totalsRowDxfId="289" dataCellStyle="Percent">
      <calculatedColumnFormula>Operator[[#This Row],[Effective Annual Hours]]/Operator[[#Totals],[Effective Annual Hours]]</calculatedColumnFormula>
    </tableColumn>
    <tableColumn id="9" xr3:uid="{F03840B2-F4B1-4074-81F3-E06BB74CC4F1}" name="Automatable By Use Case(s)?" dataDxfId="286" totalsRowDxfId="287"/>
    <tableColumn id="10" xr3:uid="{6D1F3E24-F182-4F7E-B51E-7281DCFD2DBB}" name="1a: Level of Effort (Minutes)" totalsRowFunction="sum" dataDxfId="284" totalsRowDxfId="285"/>
    <tableColumn id="11" xr3:uid="{ACCC27E5-586B-46D6-BF09-2B3DC04E250E}" name="1a: Frequency (Days in a Year)" dataDxfId="282" totalsRowDxfId="283"/>
    <tableColumn id="12" xr3:uid="{BC6C4190-3EF6-4C28-A65F-6BC75CBC4662}" name="1a: Effective Annual Hours" totalsRowFunction="sum" dataDxfId="280" totalsRowDxfId="281">
      <calculatedColumnFormula>(Operator[[#This Row],[1a: Level of Effort (Minutes)]]*Operator[[#This Row],[1a: Frequency (Days in a Year)]])/60</calculatedColumnFormula>
    </tableColumn>
    <tableColumn id="13" xr3:uid="{51C5AC03-C74F-4A6C-B580-85F8E1B71E9C}" name="1a: % Impact" totalsRowFunction="custom" dataDxfId="278" totalsRowDxfId="279" dataCellStyle="Percent">
      <calculatedColumnFormula>IFERROR((Operator[[#This Row],[1a: Effective Annual Hours]]-Operator[[#This Row],[Effective Annual Hours]])/Operator[[#This Row],[Effective Annual Hours]],0)</calculatedColumnFormula>
      <totalsRowFormula>(Operator[[#Totals],[1a: Effective Annual Hours]]-Operator[[#Totals],[Effective Annual Hours]])/Operator[[#Totals],[Effective Annual Hours]]</totalsRowFormula>
    </tableColumn>
  </tableColumns>
  <tableStyleInfo name="TableStyleLight8" showFirstColumn="0" showLastColumn="0" showRowStripes="1"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C7324C0A-0039-4B61-AC3F-B068792BFECB}" name="MechElec" displayName="MechElec" ref="A23:M29" totalsRowCount="1" headerRowDxfId="83" tableBorderDxfId="82">
  <autoFilter ref="A23:M28" xr:uid="{C7324C0A-0039-4B61-AC3F-B068792BFECB}"/>
  <tableColumns count="13">
    <tableColumn id="1" xr3:uid="{1C94D3F0-F1C5-4BEF-9895-2BDBAD3625E8}" name="Task ID" totalsRowLabel="Total" dataDxfId="80" totalsRowDxfId="81"/>
    <tableColumn id="2" xr3:uid="{4A0F0E95-5EFA-4A62-8728-5731CCEBFA24}" name="Title"/>
    <tableColumn id="3" xr3:uid="{235027D3-8D66-4A91-9DB5-F80BFE02049B}" name="Task Description"/>
    <tableColumn id="4" xr3:uid="{8E516E15-4709-432C-B36A-2EB3173D8A6F}" name="Level of Effort (Minutes) " totalsRowFunction="sum" dataDxfId="78" totalsRowDxfId="79"/>
    <tableColumn id="5" xr3:uid="{B8C5B31B-9737-4FE7-9B1F-1E2F88BA2BDE}" name="Frequency (Days in a Year)" dataDxfId="76" totalsRowDxfId="77"/>
    <tableColumn id="6" xr3:uid="{5C7A3702-34BD-424B-B0DF-86766A368314}" name="Effective Annual Hours" totalsRowFunction="sum" dataDxfId="74" totalsRowDxfId="75">
      <calculatedColumnFormula>(MechElec[[#This Row],[Level of Effort (Minutes) ]]*MechElec[[#This Row],[Frequency (Days in a Year)]])/60</calculatedColumnFormula>
    </tableColumn>
    <tableColumn id="7" xr3:uid="{C60358BD-E07A-4DB2-BB56-469FBCE1D1ED}" name="Effective Daily Hours" totalsRowFunction="sum" dataDxfId="72" totalsRowDxfId="73">
      <calculatedColumnFormula>D24/60</calculatedColumnFormula>
    </tableColumn>
    <tableColumn id="8" xr3:uid="{F6C6BC8D-F30D-4056-98C9-295AA77FB123}" name="% of Annual Hours" totalsRowFunction="sum" dataDxfId="70" totalsRowDxfId="71" dataCellStyle="Percent">
      <calculatedColumnFormula>IFERROR(MechElec[[#This Row],[Effective Annual Hours]]/MechElec[[#Totals],[Effective Annual Hours]],0)</calculatedColumnFormula>
    </tableColumn>
    <tableColumn id="9" xr3:uid="{5FC2AD34-40C3-49ED-B8F5-DD1851BCAA94}" name="Automatable By Use Case(s)?" dataDxfId="69"/>
    <tableColumn id="10" xr3:uid="{299F9404-6190-4C36-B916-1DF4F487C329}" name="1a: Level of Effort (Minutes)" totalsRowFunction="sum" dataDxfId="68"/>
    <tableColumn id="11" xr3:uid="{BCA75CEC-6FF4-49EB-9D7D-4BC0DDA6DE11}" name="1a: Frequency (Days in a Year)" dataDxfId="67"/>
    <tableColumn id="12" xr3:uid="{8DF87DA3-067F-412E-94F8-E0708336A747}" name="1a: Effective Annual Hours" totalsRowFunction="sum" dataDxfId="66">
      <calculatedColumnFormula>(MechElec[[#This Row],[1a: Level of Effort (Minutes)]]*MechElec[[#This Row],[1a: Frequency (Days in a Year)]])/60</calculatedColumnFormula>
    </tableColumn>
    <tableColumn id="13" xr3:uid="{32DEFE01-5915-4E44-8759-4D4898B3D9F0}" name="1a: % Impact" totalsRowFunction="custom" dataDxfId="64" totalsRowDxfId="65" dataCellStyle="Percent">
      <calculatedColumnFormula>IFERROR((MechElec[[#This Row],[1a: Effective Annual Hours]]-MechElec[[#This Row],[Effective Annual Hours]])/MechElec[[#This Row],[Effective Annual Hours]],0)</calculatedColumnFormula>
      <totalsRowFormula>IFERROR((MechElec[[#Totals],[1a: Effective Annual Hours]]-MechElec[[#Totals],[Effective Annual Hours]])/MechElec[[#Totals],[Effective Annual Hours]],0)</totalsRowFormula>
    </tableColumn>
  </tableColumns>
  <tableStyleInfo name="TableStyleLight8" showFirstColumn="0" showLastColumn="0" showRowStripes="1" showColumnStripes="0"/>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960478CA-06B3-4854-9BE1-67FD0BF583B6}" name="YardSuper" displayName="YardSuper" ref="A105:M110" totalsRowCount="1" headerRowDxfId="63" tableBorderDxfId="62">
  <tableColumns count="13">
    <tableColumn id="1" xr3:uid="{73FDCF75-42DA-4348-A137-66DF240AC6ED}" name="Task ID" totalsRowLabel="Total" dataDxfId="60" totalsRowDxfId="61"/>
    <tableColumn id="2" xr3:uid="{68DFB274-7DDA-4883-BA70-EFA0F19F851A}" name="Title" dataDxfId="58" totalsRowDxfId="59"/>
    <tableColumn id="3" xr3:uid="{176AED1B-558D-45A2-A0FB-67ACD613F5CD}" name="Task Description" dataDxfId="56" totalsRowDxfId="57"/>
    <tableColumn id="4" xr3:uid="{0180F97F-EF70-4CAB-91E6-BF2A09E78388}" name="Level of Effort (Minutes) " totalsRowFunction="sum" dataDxfId="54" totalsRowDxfId="55"/>
    <tableColumn id="5" xr3:uid="{66257C5D-6023-4A78-B4F6-C5C3C4CE3F06}" name="Frequency (Days in a Year)" dataDxfId="52" totalsRowDxfId="53"/>
    <tableColumn id="6" xr3:uid="{7E69F217-1CCF-4B00-80B8-E865F771379B}" name="Effective Annual Hours" totalsRowFunction="sum" dataDxfId="50" totalsRowDxfId="51">
      <calculatedColumnFormula>(YardSuper[[#This Row],[Level of Effort (Minutes) ]]*YardSuper[[#This Row],[Frequency (Days in a Year)]])/60</calculatedColumnFormula>
    </tableColumn>
    <tableColumn id="7" xr3:uid="{71DF8AC4-0446-450E-A796-F1C6F176C744}" name="Effective Daily Hours" totalsRowFunction="sum" dataDxfId="48" totalsRowDxfId="49">
      <calculatedColumnFormula>YardSuper[[#This Row],[Effective Annual Hours]]/260</calculatedColumnFormula>
    </tableColumn>
    <tableColumn id="8" xr3:uid="{B96E466C-F041-4F50-94D1-1F28502E6A55}" name="% of Annual Hours" dataDxfId="46" totalsRowDxfId="47" dataCellStyle="Percent">
      <calculatedColumnFormula>IFERROR(YardSuper[[#This Row],[Effective Annual Hours]]/YardSuper[[#Totals],[Effective Annual Hours]],0)</calculatedColumnFormula>
    </tableColumn>
    <tableColumn id="9" xr3:uid="{FB52E924-521B-4ED3-A37F-0791BA55E4F0}" name="Automatable By Use Case(s)?" dataDxfId="44" totalsRowDxfId="45"/>
    <tableColumn id="10" xr3:uid="{EC18E3B0-6078-48F8-96C0-10E2C2EBBBF3}" name="1a: Level of Effort (Minutes)" totalsRowFunction="sum" dataDxfId="42" totalsRowDxfId="43"/>
    <tableColumn id="11" xr3:uid="{138B3163-30A5-4C77-BD2E-438C219F48C3}" name="1a: Frequency (Days in a Year)" dataDxfId="40" totalsRowDxfId="41"/>
    <tableColumn id="12" xr3:uid="{5F80B5BB-4132-4BFD-AC4C-99CF924A1EE3}" name="1a: Effective Annual Hours" totalsRowFunction="sum" dataDxfId="38" totalsRowDxfId="39">
      <calculatedColumnFormula>(YardSuper[[#This Row],[1a: Level of Effort (Minutes)]]*YardSuper[[#This Row],[1a: Frequency (Days in a Year)]])/60</calculatedColumnFormula>
    </tableColumn>
    <tableColumn id="13" xr3:uid="{DBD92CF3-92B6-4888-A91C-ABF4BD2950F6}" name="1a: % Impact" totalsRowFunction="custom" dataDxfId="36" totalsRowDxfId="37" dataCellStyle="Percent">
      <calculatedColumnFormula>IFERROR((YardSuper[[#This Row],[1a: Effective Annual Hours]]-YardSuper[[#This Row],[Effective Annual Hours]])/YardSuper[[#This Row],[Effective Annual Hours]],0)</calculatedColumnFormula>
      <totalsRowFormula>IFERROR((YardSuper[[#Totals],[1a: Effective Annual Hours]]-YardSuper[[#Totals],[Effective Annual Hours]])/YardSuper[[#Totals],[Effective Annual Hours]],0)</totalsRowFormula>
    </tableColumn>
  </tableColumns>
  <tableStyleInfo name="TableStyleLight8" showFirstColumn="0" showLastColumn="0" showRowStripes="1" showColumnStripes="0"/>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548DEC3B-DE17-41D5-9820-9194969AC7DF}" name="YardHostler" displayName="YardHostler" ref="A114:M119" totalsRowCount="1" headerRowDxfId="35" tableBorderDxfId="34">
  <tableColumns count="13">
    <tableColumn id="1" xr3:uid="{17335DD7-8160-41CD-A4C7-83A29330B64E}" name="Task ID" totalsRowLabel="Total" dataDxfId="32" totalsRowDxfId="33"/>
    <tableColumn id="2" xr3:uid="{4355A8A2-957F-41B4-8048-EDF2D4B53A27}" name="Title" dataDxfId="30" totalsRowDxfId="31"/>
    <tableColumn id="3" xr3:uid="{DDC861B4-5C8D-41F7-B28E-1A3832A92386}" name="Task Description" dataDxfId="28" totalsRowDxfId="29"/>
    <tableColumn id="4" xr3:uid="{4077DDC7-BEFF-49BB-B1E2-F5349055F151}" name="Level of Effort (Minutes) " totalsRowFunction="sum" dataDxfId="26" totalsRowDxfId="27"/>
    <tableColumn id="5" xr3:uid="{AC690114-6AF2-46EB-B9B4-EE4649798620}" name="Frequency (Days in a Year)" dataDxfId="24" totalsRowDxfId="25"/>
    <tableColumn id="6" xr3:uid="{7A4A9FA4-41C3-4C0D-B8DA-0BAABD495E3A}" name="Effective Annual Hours" totalsRowFunction="sum" dataDxfId="22" totalsRowDxfId="23">
      <calculatedColumnFormula>(YardHostler[[#This Row],[Level of Effort (Minutes) ]]*YardHostler[[#This Row],[Frequency (Days in a Year)]])/60</calculatedColumnFormula>
    </tableColumn>
    <tableColumn id="7" xr3:uid="{24379877-29E4-4E14-8B0B-70DEB1984814}" name="Effective Daily Hours" totalsRowFunction="sum" dataDxfId="20" totalsRowDxfId="21">
      <calculatedColumnFormula>YardHostler[[#This Row],[Effective Annual Hours]]/260</calculatedColumnFormula>
    </tableColumn>
    <tableColumn id="8" xr3:uid="{9770CDCA-2925-4F5D-BD2B-6E6B5FC42C4B}" name="% of Annual Hours" dataDxfId="18" totalsRowDxfId="19" dataCellStyle="Percent">
      <calculatedColumnFormula>IFERROR(YardHostler[[#This Row],[Effective Annual Hours]]/YardHostler[[#Totals],[Effective Annual Hours]],0)</calculatedColumnFormula>
    </tableColumn>
    <tableColumn id="9" xr3:uid="{DEEFEC1E-72D9-4389-A069-92A1FFDDC9EC}" name="Automatable By Use Case(s)?" dataDxfId="16" totalsRowDxfId="17"/>
    <tableColumn id="10" xr3:uid="{2C5DDBEE-E870-47A4-A26D-7FD71D67BA5D}" name="1a: Level of Effort (Minutes)" totalsRowFunction="sum" dataDxfId="14" totalsRowDxfId="15"/>
    <tableColumn id="11" xr3:uid="{3C0610D4-5083-4C1D-8105-0DD65E645880}" name="1a: Frequency (Days in a Year)" dataDxfId="12" totalsRowDxfId="13"/>
    <tableColumn id="12" xr3:uid="{4A9BD01E-E9AC-4A2F-9AE8-BA2A00B37055}" name="1a: Effective Annual Hours" totalsRowFunction="sum" dataDxfId="10" totalsRowDxfId="11">
      <calculatedColumnFormula>(YardHostler[[#This Row],[1a: Level of Effort (Minutes)]]*YardHostler[[#This Row],[1a: Frequency (Days in a Year)]])/60</calculatedColumnFormula>
    </tableColumn>
    <tableColumn id="13" xr3:uid="{3BC1D484-F66B-44EE-ACFC-959E4AA2F2EE}" name="1a: % Impact" totalsRowFunction="custom" dataDxfId="8" totalsRowDxfId="9" dataCellStyle="Percent">
      <calculatedColumnFormula>IFERROR((YardHostler[[#This Row],[1a: Effective Annual Hours]]-YardHostler[[#This Row],[Effective Annual Hours]])/YardHostler[[#This Row],[Effective Annual Hours]],0)</calculatedColumnFormula>
      <totalsRowFormula>IFERROR((YardHostler[[#Totals],[1a: Effective Annual Hours]]-YardHostler[[#Totals],[Effective Annual Hours]])/YardHostler[[#Totals],[Effective Annual Hours]],0)</totalsRowFormula>
    </tableColumn>
  </tableColumns>
  <tableStyleInfo name="TableStyleLight8" showFirstColumn="0" showLastColumn="0" showRowStripes="1" showColumnStripes="0"/>
</table>
</file>

<file path=xl/tables/table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147A612D-5744-4FF9-8C4C-BF52D2B50928}" name="Table1" displayName="Table1" ref="A1:K169" totalsRowShown="0" headerRowDxfId="7">
  <autoFilter ref="A1:K169" xr:uid="{13FF470A-2134-45AF-8AA9-85CB6BEE4031}"/>
  <tableColumns count="11">
    <tableColumn id="1" xr3:uid="{FFC53FC3-1791-4AA7-92B7-6DFB82F4B055}" name="Use Case"/>
    <tableColumn id="2" xr3:uid="{E8277EB1-1BAC-4F2F-900B-5962E8CF39D7}" name="Decision ID"/>
    <tableColumn id="7" xr3:uid="{4D9ED5A0-943A-46AC-B01C-D28EEB7EF268}" name="Decision Tier"/>
    <tableColumn id="3" xr3:uid="{21B1B251-DAC0-4FF2-8C8E-07ECE71A3FE2}" name="Decision Title"/>
    <tableColumn id="4" xr3:uid="{2A44A803-A018-415D-8481-0190F1C0150E}" name="Description" dataDxfId="6"/>
    <tableColumn id="11" xr3:uid="{3ADBB482-37B6-49AF-9072-5DFE41AFF218}" name="Model Variable Applies to" dataDxfId="5"/>
    <tableColumn id="12" xr3:uid="{F522FED8-EB08-4B51-AF66-D0A2BA1BDA11}" name="Rural" dataDxfId="4"/>
    <tableColumn id="13" xr3:uid="{51C18381-B54C-4B64-A026-68B4FD36154F}" name="Small Urban" dataDxfId="3"/>
    <tableColumn id="14" xr3:uid="{B70B1D96-EFD1-43F7-A6BF-682E1F1422A4}" name="Large Urban" dataDxfId="2"/>
    <tableColumn id="17" xr3:uid="{B1F3B0C6-0613-4F46-B946-3D28ECD0D72E}" name="Task Change %" dataDxfId="1"/>
    <tableColumn id="9" xr3:uid="{788E4939-6342-4558-9000-0DCDFFD0BF90}" name="Position Applicability" dataDxfId="0"/>
  </tableColumns>
  <tableStyleInfo name="TableStyleMedium7"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66DCBF14-6007-4CEE-BFC8-04C85BDF85B4}" name="ServiceWriterDay" displayName="ServiceWriterDay" ref="A32:M42" totalsRowCount="1" headerRowDxfId="277" dataDxfId="276" tableBorderDxfId="275">
  <autoFilter ref="A32:M41" xr:uid="{66DCBF14-6007-4CEE-BFC8-04C85BDF85B4}"/>
  <tableColumns count="13">
    <tableColumn id="1" xr3:uid="{3085E146-4EF4-40F9-8A14-C069CAFEE95D}" name="Task ID" totalsRowLabel="Total"/>
    <tableColumn id="2" xr3:uid="{E46B863E-778B-43FD-BBF1-22C5C54655DF}" name="Title" dataDxfId="274"/>
    <tableColumn id="3" xr3:uid="{445E7C72-34D8-49E1-A421-ED4E76C15A78}" name="Task Description"/>
    <tableColumn id="4" xr3:uid="{D1F4BCBF-86E0-42D9-8C68-4340B8C6E50E}" name="Level of Effort (Minutes) " totalsRowFunction="sum" dataDxfId="272" totalsRowDxfId="273"/>
    <tableColumn id="5" xr3:uid="{09765D5D-5A9C-4E30-8AFB-6B0F5C7CD47E}" name="Frequency (Days in a Year)" dataDxfId="270" totalsRowDxfId="271"/>
    <tableColumn id="6" xr3:uid="{94868DBE-A610-4A0F-9CF2-3ED225EA0450}" name="Effective Annual Hours" totalsRowFunction="sum" dataDxfId="268" totalsRowDxfId="269">
      <calculatedColumnFormula>(ServiceWriterDay[[#This Row],[Level of Effort (Minutes) ]]*ServiceWriterDay[[#This Row],[Frequency (Days in a Year)]])/60</calculatedColumnFormula>
    </tableColumn>
    <tableColumn id="7" xr3:uid="{B1B7B644-2158-4E35-B3F7-EEDA0FF4DA12}" name="Effective Daily Hours" totalsRowFunction="sum" dataDxfId="266" totalsRowDxfId="267">
      <calculatedColumnFormula>ServiceWriterDay[[#This Row],[Effective Annual Hours]]/260</calculatedColumnFormula>
    </tableColumn>
    <tableColumn id="8" xr3:uid="{D1136B75-6647-485A-A5A3-1B7CFF128788}" name="% of Annual Hours" dataDxfId="264" totalsRowDxfId="265" dataCellStyle="Percent">
      <calculatedColumnFormula>ServiceWriterDay[[#This Row],[Effective Annual Hours]]/ServiceWriterDay[[#Totals],[Effective Annual Hours]]</calculatedColumnFormula>
    </tableColumn>
    <tableColumn id="9" xr3:uid="{F5E9F88E-50A6-4E9B-8B45-9ADAA2780CD8}" name="Automatable By Use Case(s)?" dataDxfId="262" totalsRowDxfId="263"/>
    <tableColumn id="10" xr3:uid="{97DCFEC7-E83A-4270-AFE3-F861B1A7DDF3}" name="1a: Level of Effort (Minutes)" totalsRowFunction="sum" dataDxfId="260" totalsRowDxfId="261"/>
    <tableColumn id="11" xr3:uid="{898DA395-D1B5-4E9B-AC23-C05C4EE1F528}" name="1a: Frequency (Days in a Year)" dataDxfId="258" totalsRowDxfId="259"/>
    <tableColumn id="12" xr3:uid="{11B65AFD-25BB-4C3E-B686-10DDD730300D}" name="1a: Effective Annual Hours" totalsRowFunction="sum" dataDxfId="256" totalsRowDxfId="257">
      <calculatedColumnFormula>(ServiceWriterDay[[#This Row],[1a: Level of Effort (Minutes)]]*ServiceWriterDay[[#This Row],[1a: Frequency (Days in a Year)]])/60</calculatedColumnFormula>
    </tableColumn>
    <tableColumn id="13" xr3:uid="{461230DD-472D-44BE-A0B3-8426D7818B0A}" name="1a: % Impact" dataDxfId="254" totalsRowDxfId="255" dataCellStyle="Percent">
      <calculatedColumnFormula>IFERROR((ServiceWriterDay[[#This Row],[1a: Effective Annual Hours]]-ServiceWriterDay[[#This Row],[Effective Annual Hours]])/ServiceWriterDay[[#This Row],[Effective Annual Hours]],0)</calculatedColumnFormula>
    </tableColumn>
  </tableColumns>
  <tableStyleInfo name="TableStyleLight8"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5CC5CB26-F078-4809-8738-A8BAABB8A075}" name="ServiceWriterNight" displayName="ServiceWriterNight" ref="A46:M56" totalsRowCount="1" headerRowDxfId="253" tableBorderDxfId="252">
  <autoFilter ref="A46:M55" xr:uid="{5CC5CB26-F078-4809-8738-A8BAABB8A075}"/>
  <tableColumns count="13">
    <tableColumn id="1" xr3:uid="{4EEB51ED-F7AB-4F06-AEB9-E6043FE41D7E}" name="Task ID" totalsRowLabel="Total" dataDxfId="251"/>
    <tableColumn id="2" xr3:uid="{6B514806-361E-45B4-A348-B102999CB4F1}" name="Title"/>
    <tableColumn id="3" xr3:uid="{23E60058-F23B-4CDE-8393-41E266611FD0}" name="Task Description"/>
    <tableColumn id="4" xr3:uid="{24A76E18-C46C-42C7-AB24-0329A60828DB}" name="Level of Effort (Minutes) " dataDxfId="249" totalsRowDxfId="250"/>
    <tableColumn id="5" xr3:uid="{9D56EF72-12EC-4DA1-A85C-70C366A21B89}" name="Frequency (Days in a Year)" dataDxfId="247" totalsRowDxfId="248"/>
    <tableColumn id="6" xr3:uid="{C33F3728-ADD3-4CB3-A216-2498CEA951C5}" name="Effective Annual Hours" totalsRowFunction="sum" dataDxfId="245" totalsRowDxfId="246">
      <calculatedColumnFormula>(ServiceWriterNight[[#This Row],[Level of Effort (Minutes) ]]*ServiceWriterNight[[#This Row],[Frequency (Days in a Year)]])/60</calculatedColumnFormula>
    </tableColumn>
    <tableColumn id="7" xr3:uid="{1A6A71FC-201A-4985-BE29-1668B68F0931}" name="Effective Daily Hours" totalsRowFunction="sum" dataDxfId="243" totalsRowDxfId="244">
      <calculatedColumnFormula>ServiceWriterNight[[#This Row],[Effective Annual Hours]]/260</calculatedColumnFormula>
    </tableColumn>
    <tableColumn id="8" xr3:uid="{D3847697-C143-4E89-9F22-837C0298DDCD}" name="% of Annual Hours" dataDxfId="242" dataCellStyle="Percent">
      <calculatedColumnFormula>ServiceWriterNight[[#This Row],[Effective Annual Hours]]/ServiceWriterNight[[#Totals],[Effective Annual Hours]]</calculatedColumnFormula>
    </tableColumn>
    <tableColumn id="9" xr3:uid="{3B27AF34-A102-41F8-A87A-00F77F28D6F5}" name="Automatable By Use Case(s)?" dataDxfId="241"/>
    <tableColumn id="10" xr3:uid="{B8460478-A989-4719-902F-03AE7D9243D9}" name="1a: Level of Effort (Minutes)" totalsRowFunction="sum" dataDxfId="240"/>
    <tableColumn id="11" xr3:uid="{F1EF9A69-ABFA-48DF-A4FD-A5B958FB2EC1}" name="1a: Frequency (Days in a Year)" dataDxfId="239"/>
    <tableColumn id="12" xr3:uid="{C25698B7-1830-41FC-A7AD-7DC6CD4E4C2E}" name="1a: Effective Annual Hours" totalsRowFunction="sum" dataDxfId="237" totalsRowDxfId="238">
      <calculatedColumnFormula>(ServiceWriterNight[[#This Row],[1a: Level of Effort (Minutes)]]*ServiceWriterNight[[#This Row],[1a: Frequency (Days in a Year)]])/60</calculatedColumnFormula>
    </tableColumn>
    <tableColumn id="13" xr3:uid="{E920A9AC-3178-45FF-917B-98103F375A65}" name="1a: % Impact" dataDxfId="235" totalsRowDxfId="236" dataCellStyle="Percent">
      <calculatedColumnFormula>IFERROR((ServiceWriterNight[[#This Row],[1a: Effective Annual Hours]]-ServiceWriterNight[[#This Row],[Effective Annual Hours]])/ServiceWriterNight[[#This Row],[Effective Annual Hours]],0)</calculatedColumnFormula>
    </tableColumn>
  </tableColumns>
  <tableStyleInfo name="TableStyleLight8"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DA079647-3E58-4F14-91A3-A6D41DA40355}" name="ProbeShack" displayName="ProbeShack" ref="A60:M67" totalsRowCount="1" headerRowDxfId="234" tableBorderDxfId="233">
  <autoFilter ref="A60:M66" xr:uid="{DA079647-3E58-4F14-91A3-A6D41DA40355}"/>
  <tableColumns count="13">
    <tableColumn id="1" xr3:uid="{102887D1-F041-4203-90C5-F68BB72F4C6F}" name="Task ID" totalsRowLabel="Total" dataDxfId="231" totalsRowDxfId="232"/>
    <tableColumn id="2" xr3:uid="{D97DA090-1DE5-4E62-ABDB-D7D5E4512AA8}" name="Title" dataDxfId="229" totalsRowDxfId="230"/>
    <tableColumn id="3" xr3:uid="{781E7AB6-A3E5-4A2C-A44C-28A649C5F9A4}" name="Task Description" dataDxfId="227" totalsRowDxfId="228"/>
    <tableColumn id="4" xr3:uid="{545E6A0C-313A-4905-8E71-111AD0378BDB}" name="Level of Effort (Minutes) " totalsRowFunction="sum" dataDxfId="225" totalsRowDxfId="226"/>
    <tableColumn id="5" xr3:uid="{94434F09-485B-427A-A5B4-AA84C0FCD3E7}" name="Frequency (Days in a Year)" dataDxfId="223" totalsRowDxfId="224"/>
    <tableColumn id="6" xr3:uid="{D48BC137-15DB-4039-89E1-F623039A614C}" name="Effective Annual Hours" totalsRowFunction="sum" dataDxfId="221" totalsRowDxfId="222">
      <calculatedColumnFormula>(ProbeShack[[#This Row],[Level of Effort (Minutes) ]]*ProbeShack[[#This Row],[Frequency (Days in a Year)]])/60</calculatedColumnFormula>
    </tableColumn>
    <tableColumn id="7" xr3:uid="{0E2C59BC-DF9C-49D2-A610-BEBB93B0CA62}" name="Effective Daily Hours" totalsRowFunction="sum" dataDxfId="219" totalsRowDxfId="220">
      <calculatedColumnFormula>ProbeShack[[#This Row],[Effective Annual Hours]]/260</calculatedColumnFormula>
    </tableColumn>
    <tableColumn id="8" xr3:uid="{5DEC7B4F-E2AD-4655-9407-D51122F7F795}" name="% of Annual Hours" dataDxfId="217" totalsRowDxfId="218" dataCellStyle="Percent">
      <calculatedColumnFormula>ProbeShack[[#This Row],[Effective Annual Hours]]/ProbeShack[[#Totals],[Effective Annual Hours]]</calculatedColumnFormula>
    </tableColumn>
    <tableColumn id="9" xr3:uid="{86C19878-A661-4460-9250-CB940AEEAAC0}" name="Automatable By Use Case(s)?" dataDxfId="216"/>
    <tableColumn id="10" xr3:uid="{2346B7DE-59BC-4589-9CE1-CB1D4D21434D}" name="1a: Level of Effort (Minutes)" totalsRowFunction="sum" dataDxfId="214" totalsRowDxfId="215"/>
    <tableColumn id="11" xr3:uid="{A61FA456-08FA-4461-BCC0-90087988916C}" name="1a: Frequency (Days in a Year)" dataDxfId="213"/>
    <tableColumn id="12" xr3:uid="{91F03D78-26C5-42AC-B3C0-C39C4CC08AE4}" name="1a: Effective Annual Hours" totalsRowFunction="sum" dataDxfId="211" totalsRowDxfId="212">
      <calculatedColumnFormula>(ProbeShack[[#This Row],[1a: Level of Effort (Minutes)]]*ProbeShack[[#This Row],[1a: Frequency (Days in a Year)]])/60</calculatedColumnFormula>
    </tableColumn>
    <tableColumn id="13" xr3:uid="{4A9CD18C-1D7F-4794-9276-6CEDF6B32CE8}" name="1a: % Impact" dataDxfId="209" totalsRowDxfId="210" dataCellStyle="Percent">
      <calculatedColumnFormula>IFERROR((ProbeShack[[#This Row],[1a: Effective Annual Hours]]-ProbeShack[[#This Row],[Effective Annual Hours]])/ProbeShack[[#This Row],[Effective Annual Hours]],0)</calculatedColumnFormula>
    </tableColumn>
  </tableColumns>
  <tableStyleInfo name="TableStyleLight8"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DAB0BBFB-89FC-4C43-A32B-FC45E4067DCE}" name="FuelOil" displayName="FuelOil" ref="A73:M76" totalsRowCount="1" headerRowDxfId="208" tableBorderDxfId="207">
  <autoFilter ref="A73:M75" xr:uid="{DAB0BBFB-89FC-4C43-A32B-FC45E4067DCE}"/>
  <tableColumns count="13">
    <tableColumn id="1" xr3:uid="{9E3880F6-BFBD-4564-9980-47B6B81E8141}" name="Task ID" totalsRowLabel="Total" dataDxfId="205" totalsRowDxfId="206"/>
    <tableColumn id="2" xr3:uid="{A81D7C1F-4297-4C03-A42C-5DB71602E0D1}" name="Title" dataDxfId="203" totalsRowDxfId="204"/>
    <tableColumn id="3" xr3:uid="{6E842417-D31A-408A-9923-1BE2EB8A5691}" name="Task Description" dataDxfId="201" totalsRowDxfId="202"/>
    <tableColumn id="4" xr3:uid="{6DE752AF-E875-4B39-8928-ADDBCAEB7F19}" name="Level of Effort (Minutes) " totalsRowFunction="sum" dataDxfId="199" totalsRowDxfId="200">
      <calculatedColumnFormula>8*60</calculatedColumnFormula>
    </tableColumn>
    <tableColumn id="5" xr3:uid="{06C840FB-8C03-4E34-95DA-987D13D008F0}" name="Frequency (Days in a Year)" dataDxfId="197" totalsRowDxfId="198"/>
    <tableColumn id="6" xr3:uid="{F7589B11-D867-4AE9-B2C9-BFD66D6CFBC7}" name="Effective Annual Hours" totalsRowFunction="sum" dataDxfId="195" totalsRowDxfId="196">
      <calculatedColumnFormula>(FuelOil[[#This Row],[Level of Effort (Minutes) ]]*FuelOil[[#This Row],[Frequency (Days in a Year)]])/60</calculatedColumnFormula>
    </tableColumn>
    <tableColumn id="7" xr3:uid="{18005614-61E9-428B-B4F8-C11053AE00B8}" name="Effective Daily Hours" totalsRowFunction="sum" dataDxfId="193" totalsRowDxfId="194">
      <calculatedColumnFormula>FuelOil[[#This Row],[Effective Annual Hours]]/260</calculatedColumnFormula>
    </tableColumn>
    <tableColumn id="8" xr3:uid="{00492BF1-848A-43E6-8E6D-7C7CF9127B83}" name="% of Annual Hours" dataDxfId="192" dataCellStyle="Percent">
      <calculatedColumnFormula>FuelOil[[#This Row],[Effective Annual Hours]]/FuelOil[[#Totals],[Effective Annual Hours]]</calculatedColumnFormula>
    </tableColumn>
    <tableColumn id="9" xr3:uid="{0F939D03-4F53-4F05-9A1A-9599481F6B98}" name="Automatable By Use Case(s)?" dataDxfId="191"/>
    <tableColumn id="10" xr3:uid="{13E7F5C7-3EB1-48F5-BDAC-4475BB817E28}" name="1a: Level of Effort (Minutes)" totalsRowFunction="sum" dataDxfId="189" totalsRowDxfId="190">
      <calculatedColumnFormula>420/2</calculatedColumnFormula>
    </tableColumn>
    <tableColumn id="11" xr3:uid="{E0ABFEE4-1CDF-417A-830A-D16FAF5500DF}" name="1a: Frequency (Days in a Year)" dataDxfId="188"/>
    <tableColumn id="12" xr3:uid="{E4AD2160-E21B-42AA-96C6-5479C959769F}" name="1a: Effective Annual Hours" totalsRowFunction="sum" dataDxfId="186" totalsRowDxfId="187">
      <calculatedColumnFormula>(FuelOil[[#This Row],[1a: Level of Effort (Minutes)]]*FuelOil[[#This Row],[1a: Frequency (Days in a Year)]])/60</calculatedColumnFormula>
    </tableColumn>
    <tableColumn id="13" xr3:uid="{56F0AD5E-166E-4AE1-AD6C-02B28D14D09D}" name="1a: % Impact" dataDxfId="184" totalsRowDxfId="185" dataCellStyle="Percent">
      <calculatedColumnFormula>IFERROR((FuelOil[[#This Row],[1a: Effective Annual Hours]]-FuelOil[[#This Row],[Effective Annual Hours]])/FuelOil[[#This Row],[Effective Annual Hours]],0)</calculatedColumnFormula>
    </tableColumn>
  </tableColumns>
  <tableStyleInfo name="TableStyleLight8"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5939547E-0EF2-4CC5-A6EC-059B53BB49BC}" name="SweepMop" displayName="SweepMop" ref="A79:M82" totalsRowCount="1" headerRowDxfId="183" tableBorderDxfId="182">
  <autoFilter ref="A79:M81" xr:uid="{5939547E-0EF2-4CC5-A6EC-059B53BB49BC}"/>
  <tableColumns count="13">
    <tableColumn id="1" xr3:uid="{95BBCC0A-1338-43B8-89E1-4E7F3C84B20C}" name="Task ID" totalsRowLabel="Total" dataDxfId="180" totalsRowDxfId="181"/>
    <tableColumn id="2" xr3:uid="{2D0F5A71-92A1-4454-A869-939CC1448D78}" name="Title" dataDxfId="179"/>
    <tableColumn id="3" xr3:uid="{254E8B9D-3136-481C-99FA-D723DABD26A4}" name="Task Description" dataDxfId="177" totalsRowDxfId="178"/>
    <tableColumn id="4" xr3:uid="{17876E27-AD3B-4B40-90A8-5971ED6ADE4A}" name="Level of Effort (Minutes) " totalsRowFunction="sum" dataDxfId="175" totalsRowDxfId="176"/>
    <tableColumn id="5" xr3:uid="{7028EF8C-CD8B-479B-885F-63D211A0E1D6}" name="Frequency (Days in a Year)" dataDxfId="173" totalsRowDxfId="174"/>
    <tableColumn id="6" xr3:uid="{62DE319C-C637-4A64-8162-8907D06B397D}" name="Effective Annual Hours" totalsRowFunction="sum" dataDxfId="171" totalsRowDxfId="172">
      <calculatedColumnFormula>(SweepMop[[#This Row],[Level of Effort (Minutes) ]]*SweepMop[[#This Row],[Frequency (Days in a Year)]])/60</calculatedColumnFormula>
    </tableColumn>
    <tableColumn id="7" xr3:uid="{F81A90D7-210A-4FA4-B95D-A68ADC8916AF}" name="Effective Daily Hours" totalsRowFunction="sum" dataDxfId="169" totalsRowDxfId="170">
      <calculatedColumnFormula>SweepMop[[#This Row],[Effective Annual Hours]]/260</calculatedColumnFormula>
    </tableColumn>
    <tableColumn id="8" xr3:uid="{DBF3BA0B-F778-49F0-A743-B08D115B80F2}" name="% of Annual Hours" dataDxfId="168" dataCellStyle="Percent">
      <calculatedColumnFormula>SweepMop[[#This Row],[Effective Annual Hours]]/SweepMop[[#Totals],[Effective Annual Hours]]</calculatedColumnFormula>
    </tableColumn>
    <tableColumn id="9" xr3:uid="{529D12AB-F8E0-4797-A399-6F3EA6EA4302}" name="Automatable By Use Case(s)?" dataDxfId="167"/>
    <tableColumn id="10" xr3:uid="{563F4E02-89E6-4AFF-839F-8C655F618754}" name="1a: Level of Effort (Minutes)" totalsRowFunction="sum" dataDxfId="165" totalsRowDxfId="166"/>
    <tableColumn id="11" xr3:uid="{323D97F1-BF2F-475A-8428-827C16E141BF}" name="1a: Frequency (Days in a Year)" dataDxfId="164"/>
    <tableColumn id="12" xr3:uid="{16BCF87D-1628-4EFA-A0C9-1CECD22585EE}" name="1a: Effective Annual Hours" totalsRowFunction="sum" dataDxfId="162" totalsRowDxfId="163">
      <calculatedColumnFormula>(SweepMop[[#This Row],[1a: Level of Effort (Minutes)]]*SweepMop[[#This Row],[1a: Frequency (Days in a Year)]])/60</calculatedColumnFormula>
    </tableColumn>
    <tableColumn id="13" xr3:uid="{FB7AF539-3B94-4089-8073-FF54AEFC7262}" name="1a: % Impact" dataDxfId="160" totalsRowDxfId="161" dataCellStyle="Percent">
      <calculatedColumnFormula>IFERROR((SweepMop[[#This Row],[1a: Effective Annual Hours]]-SweepMop[[#This Row],[Effective Annual Hours]])/SweepMop[[#This Row],[Effective Annual Hours]],0)</calculatedColumnFormula>
    </tableColumn>
  </tableColumns>
  <tableStyleInfo name="TableStyleLight8"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E418A0C8-FF78-4290-836B-8F0EBD9312B8}" name="WindowDash" displayName="WindowDash" ref="A87:M90" totalsRowCount="1" headerRowDxfId="159" dataDxfId="158" tableBorderDxfId="157">
  <autoFilter ref="A87:M89" xr:uid="{E418A0C8-FF78-4290-836B-8F0EBD9312B8}"/>
  <tableColumns count="13">
    <tableColumn id="1" xr3:uid="{6C1325AB-977C-4590-9F3F-23A5A72CA467}" name="Task ID" totalsRowLabel="Total" dataDxfId="155" totalsRowDxfId="156"/>
    <tableColumn id="2" xr3:uid="{CC0D2CC7-6AD7-40C0-A53F-2353BDE82E69}" name="Title" dataDxfId="153" totalsRowDxfId="154"/>
    <tableColumn id="3" xr3:uid="{0A683BC5-8558-4703-A10B-C883A649EABC}" name="Task Description" dataDxfId="151" totalsRowDxfId="152"/>
    <tableColumn id="4" xr3:uid="{9061D5C7-8E31-43F3-AA0B-420613F34BD9}" name="Level of Effort (Minutes) " totalsRowFunction="sum" dataDxfId="149" totalsRowDxfId="150"/>
    <tableColumn id="5" xr3:uid="{0BCD7DD0-01D4-4ADE-B408-3552036EC9B9}" name="Frequency (Days in a Year)" dataDxfId="147" totalsRowDxfId="148"/>
    <tableColumn id="6" xr3:uid="{73511B6D-6654-4D6A-A94E-AC17D7014C1A}" name="Effective Annual Hours" totalsRowFunction="sum" dataDxfId="145" totalsRowDxfId="146">
      <calculatedColumnFormula>(WindowDash[[#This Row],[Level of Effort (Minutes) ]]*WindowDash[[#This Row],[Frequency (Days in a Year)]])/60</calculatedColumnFormula>
    </tableColumn>
    <tableColumn id="7" xr3:uid="{68BF2864-234B-4F0E-82E6-470032E4AC28}" name="Effective Daily Hours" totalsRowFunction="sum" dataDxfId="143" totalsRowDxfId="144">
      <calculatedColumnFormula>WindowDash[[#This Row],[Effective Annual Hours]]/260</calculatedColumnFormula>
    </tableColumn>
    <tableColumn id="8" xr3:uid="{C1358B5F-7D4E-4B0D-AC40-1438A295AAA2}" name="% of Annual Hours" dataDxfId="141" totalsRowDxfId="142" dataCellStyle="Percent">
      <calculatedColumnFormula>WindowDash[[#This Row],[Effective Annual Hours]]/WindowDash[[#Totals],[Effective Annual Hours]]</calculatedColumnFormula>
    </tableColumn>
    <tableColumn id="9" xr3:uid="{AC4E6407-C4D5-4FE5-857B-74014152698B}" name="Automatable By Use Case(s)?" dataDxfId="139" totalsRowDxfId="140"/>
    <tableColumn id="10" xr3:uid="{48E92C18-2F03-4D07-8565-9EDAAC05E408}" name="1a: Level of Effort (Minutes)" totalsRowFunction="sum" dataDxfId="137" totalsRowDxfId="138"/>
    <tableColumn id="11" xr3:uid="{2C25D9A2-C988-47A4-94AA-3AFBC2B61A2D}" name="1a: Frequency (Days in a Year)" dataDxfId="135" totalsRowDxfId="136"/>
    <tableColumn id="12" xr3:uid="{07E77F90-6002-455A-B452-1CC2A6167360}" name="1a: Effective Annual Hours" totalsRowFunction="sum" dataDxfId="133" totalsRowDxfId="134">
      <calculatedColumnFormula>(WindowDash[[#This Row],[1a: Level of Effort (Minutes)]]*WindowDash[[#This Row],[1a: Frequency (Days in a Year)]])/60</calculatedColumnFormula>
    </tableColumn>
    <tableColumn id="13" xr3:uid="{F9E4BD31-9499-4C90-A54F-02AD147713B4}" name="1a: % Impact" dataDxfId="131" totalsRowDxfId="132" dataCellStyle="Percent">
      <calculatedColumnFormula>IFERROR((WindowDash[[#This Row],[1a: Effective Annual Hours]]-WindowDash[[#This Row],[Effective Annual Hours]])/WindowDash[[#This Row],[Effective Annual Hours]],0)</calculatedColumnFormula>
    </tableColumn>
  </tableColumns>
  <tableStyleInfo name="TableStyleLight8"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4A20BB32-8FEF-44D4-A2EB-73CC5AB62F6C}" name="PullPark" displayName="PullPark" ref="A93:M100" totalsRowCount="1" headerRowDxfId="130" tableBorderDxfId="129">
  <tableColumns count="13">
    <tableColumn id="1" xr3:uid="{2132D09E-3402-454E-A27D-739D199AC5EC}" name="Task ID" totalsRowLabel="Total" dataDxfId="127" totalsRowDxfId="128"/>
    <tableColumn id="2" xr3:uid="{06EE25FC-F833-4B3F-BE24-73392B2F7D04}" name="Title" dataDxfId="125" totalsRowDxfId="126"/>
    <tableColumn id="3" xr3:uid="{69B1262F-2FB9-4334-9A04-9204F3575F34}" name="Task Description" dataDxfId="123" totalsRowDxfId="124"/>
    <tableColumn id="4" xr3:uid="{63AABE8A-5B89-47F1-8748-F73C347E953E}" name="Level of Effort (Minutes) " totalsRowFunction="sum" dataDxfId="121" totalsRowDxfId="122"/>
    <tableColumn id="5" xr3:uid="{C857827B-547C-4E5E-B45A-8F461975B6A2}" name="Frequency (Days in a Year)" dataDxfId="119" totalsRowDxfId="120"/>
    <tableColumn id="6" xr3:uid="{4A3FFBB5-86BF-48DC-B7D0-F71005C133BE}" name="Effective Annual Hours" totalsRowFunction="sum" dataDxfId="117" totalsRowDxfId="118">
      <calculatedColumnFormula>(PullPark[[#This Row],[Level of Effort (Minutes) ]]*PullPark[[#This Row],[Frequency (Days in a Year)]])/60</calculatedColumnFormula>
    </tableColumn>
    <tableColumn id="7" xr3:uid="{B25D9BA1-AFF3-4518-A77C-344A37961F30}" name="Effective Daily Hours" totalsRowFunction="sum" dataDxfId="115" totalsRowDxfId="116">
      <calculatedColumnFormula>PullPark[[#This Row],[Effective Annual Hours]]/260</calculatedColumnFormula>
    </tableColumn>
    <tableColumn id="8" xr3:uid="{12949C77-8EA8-4618-A03F-D846384CCAC2}" name="% of Annual Hours" dataDxfId="113" totalsRowDxfId="114" dataCellStyle="Percent">
      <calculatedColumnFormula>PullPark[[#This Row],[Effective Annual Hours]]/PullPark[[#Totals],[Effective Annual Hours]]</calculatedColumnFormula>
    </tableColumn>
    <tableColumn id="9" xr3:uid="{508311A3-932B-4492-8428-572061805458}" name="Automatable By Use Case(s)?" dataDxfId="111" totalsRowDxfId="112"/>
    <tableColumn id="10" xr3:uid="{4C65F4CE-A8A5-4A76-B3C6-849476E4D1CA}" name="1a: Level of Effort (Minutes)" totalsRowFunction="sum" dataDxfId="109" totalsRowDxfId="110"/>
    <tableColumn id="11" xr3:uid="{519C5B59-4B36-4053-8D20-F26895CF4D48}" name="1a: Frequency (Days in a Year)" dataDxfId="107" totalsRowDxfId="108"/>
    <tableColumn id="12" xr3:uid="{BDA9C671-8AA9-47DF-A0A1-12A9A784A88D}" name="1a: Effective Annual Hours" totalsRowFunction="sum" dataDxfId="105" totalsRowDxfId="106">
      <calculatedColumnFormula>(PullPark[[#This Row],[1a: Level of Effort (Minutes)]]*PullPark[[#This Row],[1a: Frequency (Days in a Year)]])/60</calculatedColumnFormula>
    </tableColumn>
    <tableColumn id="13" xr3:uid="{7979F5EC-5010-48DF-A343-B480886BE3CC}" name="1a: % Impact" totalsRowFunction="custom" dataDxfId="103" totalsRowDxfId="104" dataCellStyle="Percent">
      <calculatedColumnFormula>IFERROR((PullPark[[#This Row],[1a: Effective Annual Hours]]-PullPark[[#This Row],[Effective Annual Hours]])/PullPark[[#This Row],[Effective Annual Hours]],0)</calculatedColumnFormula>
      <totalsRowFormula>IFERROR((PullPark[[#Totals],[1a: Effective Annual Hours]]-PullPark[[#Totals],[Effective Annual Hours]])/PullPark[[#Totals],[Effective Annual Hours]],0)</totalsRowFormula>
    </tableColumn>
  </tableColumns>
  <tableStyleInfo name="TableStyleLight8"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50BA7B78-A930-4859-8D64-2CAC380CF132}" name="MechYard" displayName="MechYard" ref="A15:M20" totalsRowCount="1" headerRowDxfId="102" tableBorderDxfId="101">
  <autoFilter ref="A15:M19" xr:uid="{50BA7B78-A930-4859-8D64-2CAC380CF132}"/>
  <tableColumns count="13">
    <tableColumn id="1" xr3:uid="{6B827256-C569-4A78-948D-477AF7B86FAD}" name="Task ID" totalsRowLabel="Total" dataDxfId="99" totalsRowDxfId="100"/>
    <tableColumn id="2" xr3:uid="{48DEAAC9-265C-4775-8739-B3A3AA0C59DA}" name="Title"/>
    <tableColumn id="3" xr3:uid="{7C2FC5D7-FA17-4788-A84E-01B6850FFAB8}" name="Task Description"/>
    <tableColumn id="4" xr3:uid="{183FFDC3-1437-476E-8AC6-EFB8B27821A9}" name="Level of Effort (Minutes) " totalsRowFunction="sum" dataDxfId="97" totalsRowDxfId="98"/>
    <tableColumn id="5" xr3:uid="{9C53DCB8-CB64-426E-9B8B-8DBE41AEDF24}" name="Frequency (Days in a Year)" dataDxfId="95" totalsRowDxfId="96"/>
    <tableColumn id="6" xr3:uid="{3F335D73-2E79-483C-BD68-569631A5491C}" name="Effective Annual Hours" totalsRowFunction="sum" dataDxfId="93" totalsRowDxfId="94">
      <calculatedColumnFormula>(MechYard[[#This Row],[Level of Effort (Minutes) ]]*MechYard[[#This Row],[Frequency (Days in a Year)]])/60</calculatedColumnFormula>
    </tableColumn>
    <tableColumn id="7" xr3:uid="{169172F7-BBF8-4BF0-9CF5-47037346FAF5}" name="Effective Daily Hours" totalsRowFunction="sum" dataDxfId="91" totalsRowDxfId="92">
      <calculatedColumnFormula>MechYard[[#This Row],[Effective Annual Hours]]/260</calculatedColumnFormula>
    </tableColumn>
    <tableColumn id="8" xr3:uid="{F7D99512-A388-46EE-8E86-A9B7FCACC747}" name="% of Annual Hours" dataDxfId="90" dataCellStyle="Percent">
      <calculatedColumnFormula>IFERROR(MechYard[[#This Row],[Effective Annual Hours]]/MechYard[[#Totals],[Effective Annual Hours]],0)</calculatedColumnFormula>
    </tableColumn>
    <tableColumn id="9" xr3:uid="{58079BD6-8119-4A55-90CF-FC6C03FD43D4}" name="Automatable By Use Case(s)?" dataDxfId="89"/>
    <tableColumn id="10" xr3:uid="{443F34F8-5DAE-464B-9F47-7C42B71509D3}" name="1a: Level of Effort (Minutes)" totalsRowFunction="sum" dataDxfId="88"/>
    <tableColumn id="11" xr3:uid="{4B466070-ED9E-4740-AAC6-6A9C2FD020C8}" name="1a: Frequency (Days in a Year)" dataDxfId="87"/>
    <tableColumn id="12" xr3:uid="{69E96A35-4AEC-4D27-9259-5A86874CE9A9}" name="1a: Effective Annual Hours" totalsRowFunction="sum" dataDxfId="86">
      <calculatedColumnFormula>(MechYard[[#This Row],[1a: Level of Effort (Minutes)]]*MechYard[[#This Row],[1a: Frequency (Days in a Year)]])/60</calculatedColumnFormula>
    </tableColumn>
    <tableColumn id="13" xr3:uid="{5E002045-6A9D-4C32-A9C3-9CB9B88D51B8}" name="1a: % Impact" totalsRowFunction="custom" dataDxfId="84" totalsRowDxfId="85" dataCellStyle="Percent">
      <calculatedColumnFormula>IFERROR((MechYard[[#This Row],[1a: Effective Annual Hours]]-MechYard[[#This Row],[Effective Annual Hours]])/MechYard[[#This Row],[Effective Annual Hours]],0)</calculatedColumnFormula>
      <totalsRowFormula>IFERROR((MechYard[[#Totals],[1a: Effective Annual Hours]]-MechYard[[#Totals],[Effective Annual Hours]])/MechYard[[#Totals],[Effective Annual Hours]],0)</totalsRowFormula>
    </tableColumn>
  </tableColumns>
  <tableStyleInfo name="TableStyleLight8"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D8" dT="2024-12-05T02:28:56.05" personId="{05F05F4F-D564-48EF-93D1-55CB58E44B71}" id="{74DE8A0F-152B-415C-A10B-51A17F070472}">
    <text>Is the number of minutes needed to total to 8 hours after accounting for all other operator tasks</text>
  </threadedComment>
  <threadedComment ref="J8" dT="2024-12-05T04:18:12.44" personId="{05F05F4F-D564-48EF-93D1-55CB58E44B71}" id="{B5DC3A6A-BE19-4157-B232-5088521261FD}">
    <text>Assumes the 7 minute time savings from viewing the yard map, walking to the bus in the yard, and driving from yard to gate is re-invested into operating the bus for service.</text>
  </threadedComment>
  <threadedComment ref="J17" dT="2024-12-06T18:05:18.88" personId="{05F05F4F-D564-48EF-93D1-55CB58E44B71}" id="{086A6DD6-93DA-43D6-BE06-7F09FBA6DF15}">
    <text>Assumes a 10% increase in work-load demands due to complexities of yard automation / trouble-shooting systems, etc.</text>
  </threadedComment>
  <threadedComment ref="D18" dT="2024-12-06T18:01:18.75" personId="{05F05F4F-D564-48EF-93D1-55CB58E44B71}" id="{1F83BA5C-69EF-4986-A95B-D3C833E0CDE4}">
    <text>Number of minutes needed after accounting for all other duties</text>
  </threadedComment>
  <threadedComment ref="J18" dT="2024-12-06T18:05:18.88" personId="{05F05F4F-D564-48EF-93D1-55CB58E44B71}" id="{59B003E1-6372-499E-97AF-2758B4AB0A42}">
    <text>Assumes a 10% increase in work-load demands due to complexities of yard automation / trouble-shooting systems, etc.</text>
  </threadedComment>
  <threadedComment ref="D25" dT="2024-12-06T18:28:35.99" personId="{05F05F4F-D564-48EF-93D1-55CB58E44B71}" id="{2DDCCA6F-740F-4D25-AB03-058E85C532C0}">
    <text>Minutes needed after accounting for all other tasks</text>
  </threadedComment>
  <threadedComment ref="J25" dT="2024-12-06T18:31:09.06" personId="{05F05F4F-D564-48EF-93D1-55CB58E44B71}" id="{AF12D8C0-3644-4CAE-B409-ABBE6D2699BC}">
    <text>Assumes a 25% increase in maintenance work load for ET shop personnel</text>
  </threadedComment>
  <threadedComment ref="J26" dT="2024-12-06T18:29:32.31" personId="{05F05F4F-D564-48EF-93D1-55CB58E44B71}" id="{1C79D3F0-4458-477E-8085-524FE583A030}">
    <text>Assumes half of time, buses will still be capable of yard automation</text>
  </threadedComment>
  <threadedComment ref="J27" dT="2024-12-06T18:30:00.48" personId="{05F05F4F-D564-48EF-93D1-55CB58E44B71}" id="{F218E152-6248-4711-B163-A086D3B1CEBE}">
    <text>Assumes that, after repairs, buses will be able to self-park</text>
  </threadedComment>
  <threadedComment ref="J37" dT="2025-03-11T04:09:51.29" personId="{05F05F4F-D564-48EF-93D1-55CB58E44B71}" id="{929F7BB2-3E94-4835-A09D-DF8DF0540202}">
    <text>Work mainly taken by YMS and yard hostler</text>
  </threadedComment>
  <threadedComment ref="J38" dT="2025-03-11T04:10:14.24" personId="{05F05F4F-D564-48EF-93D1-55CB58E44B71}" id="{90822355-0BD3-485C-8B12-2C0DCC99E0B5}">
    <text>Yard Hostler / Supervisor mainly performs task</text>
  </threadedComment>
  <threadedComment ref="D40" dT="2024-12-05T04:55:46.70" personId="{05F05F4F-D564-48EF-93D1-55CB58E44B71}" id="{33300AD3-BB10-4B46-BC95-28AF49DB6548}">
    <text>This is a plug number to fill in the gap in the annual work hours for a Service Writer day shift.</text>
  </threadedComment>
  <threadedComment ref="J40" dT="2024-12-05T04:55:46.70" personId="{05F05F4F-D564-48EF-93D1-55CB58E44B71}" id="{CAE57780-969A-40EF-A88C-B4A8E26FC013}">
    <text>This is a plug number to fill in the gap in the annual work hours for a Service Writer day shift.</text>
  </threadedComment>
  <threadedComment ref="J41" dT="2024-12-05T22:26:35.91" personId="{05F05F4F-D564-48EF-93D1-55CB58E44B71}" id="{F060C502-2D3D-43C0-8642-3FDC782AE02B}">
    <text>Assumes 2 minutes per bus, doing half of the pull-ins</text>
  </threadedComment>
  <threadedComment ref="D74" dT="2024-12-05T22:34:06.91" personId="{05F05F4F-D564-48EF-93D1-55CB58E44B71}" id="{B6E15C4A-7EE7-4FD9-8801-ECE0BE34CE7F}">
    <text>The whole day doing nothing else</text>
  </threadedComment>
  <threadedComment ref="D80" dT="2024-12-05T22:34:06.91" personId="{05F05F4F-D564-48EF-93D1-55CB58E44B71}" id="{7E1F748C-8DF4-4FA6-AADF-4CD7F11C8388}">
    <text>The whole day doing nothing else</text>
  </threadedComment>
  <threadedComment ref="J80" dT="2024-12-05T22:34:06.91" personId="{05F05F4F-D564-48EF-93D1-55CB58E44B71}" id="{D2F13396-F335-4286-842C-7F7A8E61F35D}">
    <text>The whole day doing nothing else</text>
  </threadedComment>
  <threadedComment ref="D88" dT="2024-12-05T22:34:06.91" personId="{05F05F4F-D564-48EF-93D1-55CB58E44B71}" id="{D98E6F86-28E1-4EBB-8CF2-4EBD210036DE}">
    <text>The whole day doing nothing else</text>
  </threadedComment>
  <threadedComment ref="J88" dT="2024-12-05T22:34:06.91" personId="{05F05F4F-D564-48EF-93D1-55CB58E44B71}" id="{A2AAF5CC-6DC6-4C7B-8B36-43A87C340203}">
    <text>The whole day doing nothing else</text>
  </threadedComment>
  <threadedComment ref="D94" dT="2024-12-06T00:38:50.63" personId="{05F05F4F-D564-48EF-93D1-55CB58E44B71}" id="{E9ABA7F1-D79E-4B68-BECF-116ECA4145B9}">
    <text>Treated all tasks as having equal labor hours requirements… (works given all tasks equally automated by use case)</text>
  </threadedComment>
  <threadedComment ref="J107" dT="2025-03-11T04:15:24.38" personId="{05F05F4F-D564-48EF-93D1-55CB58E44B71}" id="{C664C3FF-901B-46C9-9D72-E54EF7A0B901}">
    <text>Assumes 2 minutes per bus; doing about half of the pull-ins (b/c of shift)</text>
  </threadedComment>
  <threadedComment ref="J116" dT="2025-03-11T04:15:24.38" personId="{05F05F4F-D564-48EF-93D1-55CB58E44B71}" id="{E60106D5-8FDA-49C9-845B-EBB4BEC64AE5}">
    <text>Assumes 2 minutes per bus; doing about half of the pull-ins (b/c of shift)</text>
  </threadedComment>
</ThreadedComments>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table" Target="../tables/table6.xml"/><Relationship Id="rId13" Type="http://schemas.openxmlformats.org/officeDocument/2006/relationships/table" Target="../tables/table11.xml"/><Relationship Id="rId3" Type="http://schemas.openxmlformats.org/officeDocument/2006/relationships/table" Target="../tables/table1.xml"/><Relationship Id="rId7" Type="http://schemas.openxmlformats.org/officeDocument/2006/relationships/table" Target="../tables/table5.xml"/><Relationship Id="rId12" Type="http://schemas.openxmlformats.org/officeDocument/2006/relationships/table" Target="../tables/table10.xml"/><Relationship Id="rId2" Type="http://schemas.openxmlformats.org/officeDocument/2006/relationships/vmlDrawing" Target="../drawings/vmlDrawing1.vml"/><Relationship Id="rId16" Type="http://schemas.microsoft.com/office/2017/10/relationships/threadedComment" Target="../threadedComments/threadedComment1.xml"/><Relationship Id="rId1" Type="http://schemas.openxmlformats.org/officeDocument/2006/relationships/printerSettings" Target="../printerSettings/printerSettings3.bin"/><Relationship Id="rId6" Type="http://schemas.openxmlformats.org/officeDocument/2006/relationships/table" Target="../tables/table4.xml"/><Relationship Id="rId11" Type="http://schemas.openxmlformats.org/officeDocument/2006/relationships/table" Target="../tables/table9.xml"/><Relationship Id="rId5" Type="http://schemas.openxmlformats.org/officeDocument/2006/relationships/table" Target="../tables/table3.xml"/><Relationship Id="rId15" Type="http://schemas.openxmlformats.org/officeDocument/2006/relationships/comments" Target="../comments1.xml"/><Relationship Id="rId10" Type="http://schemas.openxmlformats.org/officeDocument/2006/relationships/table" Target="../tables/table8.xml"/><Relationship Id="rId4" Type="http://schemas.openxmlformats.org/officeDocument/2006/relationships/table" Target="../tables/table2.xml"/><Relationship Id="rId9" Type="http://schemas.openxmlformats.org/officeDocument/2006/relationships/table" Target="../tables/table7.xml"/><Relationship Id="rId14" Type="http://schemas.openxmlformats.org/officeDocument/2006/relationships/table" Target="../tables/table12.xml"/></Relationships>
</file>

<file path=xl/worksheets/_rels/sheet4.xml.rels><?xml version="1.0" encoding="UTF-8" standalone="yes"?>
<Relationships xmlns="http://schemas.openxmlformats.org/package/2006/relationships"><Relationship Id="rId2" Type="http://schemas.openxmlformats.org/officeDocument/2006/relationships/table" Target="../tables/table1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hyperlink" Target="file:///C:\Users\m-walk\AppData\Roaming\T1-DataCollection\Task%203%20-%20Transit%20Labor%20Market\Staffing%20Counts\Employee%20Count%20Matrix-FINAL.xlsx%3fweb=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121586-9A03-4BAA-85E0-1634354BD6CA}">
  <dimension ref="A1:C10"/>
  <sheetViews>
    <sheetView workbookViewId="0"/>
  </sheetViews>
  <sheetFormatPr defaultRowHeight="14.45"/>
  <cols>
    <col min="1" max="1" width="35.85546875" bestFit="1" customWidth="1"/>
    <col min="2" max="2" width="58.42578125" customWidth="1"/>
  </cols>
  <sheetData>
    <row r="1" spans="1:3">
      <c r="A1" s="5" t="s">
        <v>0</v>
      </c>
      <c r="B1" t="s">
        <v>1</v>
      </c>
    </row>
    <row r="2" spans="1:3">
      <c r="A2" s="5" t="s">
        <v>2</v>
      </c>
      <c r="B2" t="s">
        <v>3</v>
      </c>
    </row>
    <row r="3" spans="1:3">
      <c r="A3" s="5" t="s">
        <v>4</v>
      </c>
      <c r="B3" t="s">
        <v>5</v>
      </c>
    </row>
    <row r="4" spans="1:3">
      <c r="A4" s="5" t="s">
        <v>6</v>
      </c>
    </row>
    <row r="5" spans="1:3">
      <c r="A5">
        <v>1</v>
      </c>
      <c r="B5" t="s">
        <v>7</v>
      </c>
    </row>
    <row r="8" spans="1:3">
      <c r="A8" s="155" t="s">
        <v>8</v>
      </c>
      <c r="B8" s="155"/>
    </row>
    <row r="9" spans="1:3">
      <c r="A9" t="s">
        <v>9</v>
      </c>
      <c r="B9">
        <v>2080</v>
      </c>
    </row>
    <row r="10" spans="1:3">
      <c r="A10" t="s">
        <v>10</v>
      </c>
      <c r="B10">
        <v>130</v>
      </c>
      <c r="C10" t="s">
        <v>11</v>
      </c>
    </row>
  </sheetData>
  <mergeCells count="1">
    <mergeCell ref="A8:B8"/>
  </mergeCells>
  <pageMargins left="0.7" right="0.7" top="0.75" bottom="0.75" header="0.3" footer="0.3"/>
  <pageSetup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B7C02C-830E-4AD3-B206-96E63CB332C6}">
  <sheetPr>
    <pageSetUpPr fitToPage="1"/>
  </sheetPr>
  <dimension ref="A1:K44"/>
  <sheetViews>
    <sheetView tabSelected="1" workbookViewId="0">
      <selection activeCell="L17" sqref="L17"/>
    </sheetView>
  </sheetViews>
  <sheetFormatPr defaultRowHeight="14.45"/>
  <cols>
    <col min="2" max="2" width="43" bestFit="1" customWidth="1"/>
    <col min="3" max="3" width="18.7109375" bestFit="1" customWidth="1"/>
    <col min="4" max="4" width="11" bestFit="1" customWidth="1"/>
    <col min="5" max="5" width="19.28515625" bestFit="1" customWidth="1"/>
    <col min="6" max="6" width="11.5703125" customWidth="1"/>
    <col min="7" max="7" width="10" bestFit="1" customWidth="1"/>
    <col min="8" max="8" width="16.5703125" bestFit="1" customWidth="1"/>
    <col min="9" max="9" width="14" customWidth="1"/>
  </cols>
  <sheetData>
    <row r="1" spans="1:11">
      <c r="A1" s="156" t="s">
        <v>12</v>
      </c>
      <c r="B1" s="156"/>
      <c r="C1" s="156"/>
      <c r="D1" s="156"/>
      <c r="E1" s="156"/>
      <c r="F1" s="156"/>
      <c r="G1" s="156"/>
      <c r="H1" s="156"/>
      <c r="I1" s="156"/>
    </row>
    <row r="2" spans="1:11">
      <c r="B2" t="s">
        <v>13</v>
      </c>
      <c r="D2" s="1" t="s">
        <v>14</v>
      </c>
    </row>
    <row r="3" spans="1:11">
      <c r="A3" s="156" t="s">
        <v>15</v>
      </c>
      <c r="B3" s="156"/>
      <c r="C3" s="156"/>
      <c r="D3" s="156"/>
      <c r="E3" s="156"/>
      <c r="F3" s="156"/>
      <c r="G3" s="156"/>
      <c r="H3" s="156"/>
      <c r="I3" s="156"/>
    </row>
    <row r="4" spans="1:11">
      <c r="D4" s="4">
        <f>IF(D2="Rural",'Decision Points'!G2,IF(D2="Small Urban",'Decision Points'!H2,IF(D2="Large Urban",'Decision Points'!I2)))</f>
        <v>1</v>
      </c>
    </row>
    <row r="5" spans="1:11">
      <c r="A5" s="156" t="s">
        <v>16</v>
      </c>
      <c r="B5" s="156"/>
      <c r="C5" s="156"/>
      <c r="D5" s="156"/>
      <c r="E5" s="156"/>
      <c r="F5" s="156"/>
      <c r="G5" s="156"/>
      <c r="H5" s="156"/>
      <c r="I5" s="156"/>
    </row>
    <row r="6" spans="1:11">
      <c r="B6" t="s">
        <v>16</v>
      </c>
      <c r="D6" s="4">
        <f>IF(D2="Rural",'Decision Points'!G3,IF(D2="Small Urban",'Decision Points'!H3,IF(D2="Large Urban",'Decision Points'!I3)))</f>
        <v>1</v>
      </c>
    </row>
    <row r="7" spans="1:11">
      <c r="B7" t="s">
        <v>17</v>
      </c>
      <c r="D7" s="4">
        <f>IF(D2="Rural",'Decision Points'!G4,IF(D2="Small Urban",'Decision Points'!H4,IF(D2="Large Urban",'Decision Points'!I4)))</f>
        <v>1</v>
      </c>
    </row>
    <row r="8" spans="1:11">
      <c r="D8" s="4"/>
    </row>
    <row r="9" spans="1:11">
      <c r="B9" s="5" t="s">
        <v>18</v>
      </c>
      <c r="D9" s="6">
        <f>D4*D6*D7</f>
        <v>1</v>
      </c>
    </row>
    <row r="10" spans="1:11">
      <c r="A10" s="156" t="s">
        <v>19</v>
      </c>
      <c r="B10" s="156"/>
      <c r="C10" s="156"/>
      <c r="D10" s="156"/>
      <c r="E10" s="156"/>
      <c r="F10" s="156"/>
      <c r="G10" s="156"/>
      <c r="H10" s="156"/>
      <c r="I10" s="156"/>
    </row>
    <row r="11" spans="1:11">
      <c r="C11" t="s">
        <v>20</v>
      </c>
      <c r="E11" t="s">
        <v>21</v>
      </c>
      <c r="G11" t="s">
        <v>22</v>
      </c>
    </row>
    <row r="12" spans="1:11">
      <c r="B12" t="s">
        <v>23</v>
      </c>
      <c r="C12" s="106">
        <f>Operator[[#Totals],[Effective Annual Hours]]</f>
        <v>2080</v>
      </c>
      <c r="E12" s="106">
        <f>Operator[[#Totals],[1a: Effective Annual Hours]]</f>
        <v>2079.9999999999995</v>
      </c>
      <c r="G12" s="13">
        <f>Operator[[#Totals],[1a: Effective Annual Hours]]/Operator[[#Totals],[Effective Annual Hours]]-1</f>
        <v>0</v>
      </c>
      <c r="K12" s="13">
        <f>IFERROR((E12-C12)/C12,0)</f>
        <v>-2.1862853408003084E-16</v>
      </c>
    </row>
    <row r="13" spans="1:11">
      <c r="B13" t="s">
        <v>24</v>
      </c>
      <c r="C13" s="106">
        <f>MechYard[[#Totals],[Effective Annual Hours]]</f>
        <v>2080</v>
      </c>
      <c r="E13" s="106">
        <f>MechYard[[#Totals],[1a: Effective Annual Hours]]</f>
        <v>2270.666666666667</v>
      </c>
      <c r="G13" s="13">
        <f>MechYard[[#Totals],[1a: Effective Annual Hours]]/MechYard[[#Totals],[Effective Annual Hours]]-1</f>
        <v>9.1666666666666785E-2</v>
      </c>
      <c r="K13" s="13">
        <f t="shared" ref="K13:K23" si="0">IFERROR((E13-C13)/C13,0)</f>
        <v>9.1666666666666813E-2</v>
      </c>
    </row>
    <row r="14" spans="1:11">
      <c r="B14" t="s">
        <v>25</v>
      </c>
      <c r="C14" s="106">
        <f>MechElec[[#Totals],[Effective Annual Hours]]</f>
        <v>2080</v>
      </c>
      <c r="E14" s="106">
        <f>MechElec[[#Totals],[1a: Effective Annual Hours]]</f>
        <v>2292.333333333333</v>
      </c>
      <c r="G14" s="13">
        <f>MechElec[[#Totals],[1a: Effective Annual Hours]]/MechElec[[#Totals],[Effective Annual Hours]]-1</f>
        <v>0.10208333333333308</v>
      </c>
      <c r="K14" s="13">
        <f t="shared" si="0"/>
        <v>0.10208333333333319</v>
      </c>
    </row>
    <row r="15" spans="1:11">
      <c r="B15" t="s">
        <v>26</v>
      </c>
      <c r="C15" s="106">
        <f>ServiceWriterDay[[#Totals],[Effective Annual Hours]]</f>
        <v>2079.9973333333332</v>
      </c>
      <c r="E15" s="106">
        <f>ServiceWriterDay[[#Totals],[1a: Effective Annual Hours]]</f>
        <v>1739.3306666666667</v>
      </c>
      <c r="G15" s="13">
        <f>ServiceWriterDay[[#Totals],[1a: Effective Annual Hours]]/ServiceWriterDay[[#Totals],[Effective Annual Hours]]-1</f>
        <v>-0.16378226125930928</v>
      </c>
      <c r="K15" s="13">
        <f t="shared" si="0"/>
        <v>-0.16378226125930925</v>
      </c>
    </row>
    <row r="16" spans="1:11">
      <c r="B16" t="s">
        <v>27</v>
      </c>
      <c r="C16" s="106">
        <f>ServiceWriterNight[[#Totals],[Effective Annual Hours]]</f>
        <v>2080</v>
      </c>
      <c r="E16" s="106">
        <f>ServiceWriterNight[[#Totals],[1a: Effective Annual Hours]]</f>
        <v>526</v>
      </c>
      <c r="G16" s="13">
        <f>ServiceWriterNight[[#Totals],[1a: Effective Annual Hours]]/ServiceWriterNight[[#Totals],[Effective Annual Hours]]-1</f>
        <v>-0.74711538461538463</v>
      </c>
      <c r="K16" s="13">
        <f t="shared" si="0"/>
        <v>-0.74711538461538463</v>
      </c>
    </row>
    <row r="17" spans="1:11">
      <c r="B17" t="s">
        <v>28</v>
      </c>
      <c r="C17" s="106">
        <f>ProbeShack[[#Totals],[Effective Annual Hours]]</f>
        <v>2079.9988444444443</v>
      </c>
      <c r="E17" s="106">
        <f>ProbeShack[[#Totals],[1a: Effective Annual Hours]]</f>
        <v>2079.9988444444443</v>
      </c>
      <c r="G17" s="13">
        <f>ProbeShack[[#Totals],[1a: Effective Annual Hours]]/ProbeShack[[#Totals],[Effective Annual Hours]]-1</f>
        <v>0</v>
      </c>
      <c r="K17" s="13">
        <f t="shared" si="0"/>
        <v>0</v>
      </c>
    </row>
    <row r="18" spans="1:11">
      <c r="B18" t="s">
        <v>29</v>
      </c>
      <c r="C18" s="106">
        <f>FuelOil[[#Totals],[Effective Annual Hours]]</f>
        <v>2080</v>
      </c>
      <c r="E18" s="106">
        <f>FuelOil[[#Totals],[1a: Effective Annual Hours]]</f>
        <v>1170</v>
      </c>
      <c r="G18" s="13">
        <f>FuelOil[[#Totals],[1a: Effective Annual Hours]]/FuelOil[[#Totals],[Effective Annual Hours]]-1</f>
        <v>-0.4375</v>
      </c>
      <c r="K18" s="13">
        <f t="shared" si="0"/>
        <v>-0.4375</v>
      </c>
    </row>
    <row r="19" spans="1:11">
      <c r="B19" t="s">
        <v>30</v>
      </c>
      <c r="C19" s="106">
        <f>SweepMop[[#Totals],[Effective Annual Hours]]</f>
        <v>2080</v>
      </c>
      <c r="E19" s="106">
        <f>SweepMop[[#Totals],[1a: Effective Annual Hours]]</f>
        <v>2080</v>
      </c>
      <c r="G19" s="13">
        <f>SweepMop[[#Totals],[1a: Effective Annual Hours]]/SweepMop[[#Totals],[Effective Annual Hours]]-1</f>
        <v>0</v>
      </c>
      <c r="K19" s="13">
        <f t="shared" si="0"/>
        <v>0</v>
      </c>
    </row>
    <row r="20" spans="1:11">
      <c r="B20" t="s">
        <v>31</v>
      </c>
      <c r="C20" s="106">
        <f>WindowDash[[#Totals],[Effective Annual Hours]]</f>
        <v>2080</v>
      </c>
      <c r="E20" s="106">
        <f>WindowDash[[#Totals],[1a: Effective Annual Hours]]</f>
        <v>2080</v>
      </c>
      <c r="G20" s="13">
        <f>WindowDash[[#Totals],[1a: Effective Annual Hours]]/WindowDash[[#Totals],[Effective Annual Hours]]-1</f>
        <v>0</v>
      </c>
      <c r="K20" s="13">
        <f t="shared" si="0"/>
        <v>0</v>
      </c>
    </row>
    <row r="21" spans="1:11">
      <c r="B21" t="s">
        <v>32</v>
      </c>
      <c r="C21" s="106">
        <f>PullPark[[#Totals],[Effective Annual Hours]]</f>
        <v>2080</v>
      </c>
      <c r="E21" s="106">
        <f>PullPark[[#Totals],[1a: Effective Annual Hours]]</f>
        <v>0</v>
      </c>
      <c r="G21" s="13">
        <f>PullPark[[#Totals],[1a: Effective Annual Hours]]/PullPark[[#Totals],[Effective Annual Hours]]-1</f>
        <v>-1</v>
      </c>
      <c r="K21" s="13">
        <f t="shared" si="0"/>
        <v>-1</v>
      </c>
    </row>
    <row r="22" spans="1:11">
      <c r="B22" t="s">
        <v>33</v>
      </c>
      <c r="C22" s="106">
        <f>YardSuper[[#Totals],[Effective Annual Hours]]</f>
        <v>0</v>
      </c>
      <c r="E22" s="106">
        <f>YardSuper[[#Totals],[1a: Effective Annual Hours]]</f>
        <v>2080</v>
      </c>
      <c r="G22" s="13">
        <f>YardSuper[[#Totals],[1a: Effective Annual Hours]]/PullPark[[#Totals],[Effective Annual Hours]]-1</f>
        <v>0</v>
      </c>
      <c r="K22" s="13">
        <f t="shared" si="0"/>
        <v>0</v>
      </c>
    </row>
    <row r="23" spans="1:11">
      <c r="B23" t="s">
        <v>34</v>
      </c>
      <c r="C23" s="106">
        <f>YardHostler[[#Totals],[Effective Annual Hours]]</f>
        <v>0</v>
      </c>
      <c r="E23" s="106">
        <f>YardHostler[[#Totals],[1a: Effective Annual Hours]]</f>
        <v>2080</v>
      </c>
      <c r="G23" s="13">
        <f>YardHostler[[#Totals],[1a: Effective Annual Hours]]/PullPark[[#Totals],[Effective Annual Hours]]-1</f>
        <v>0</v>
      </c>
      <c r="K23" s="13">
        <f t="shared" si="0"/>
        <v>0</v>
      </c>
    </row>
    <row r="24" spans="1:11">
      <c r="C24" s="106"/>
      <c r="E24" s="106"/>
      <c r="G24" s="13"/>
      <c r="K24" s="13"/>
    </row>
    <row r="25" spans="1:11">
      <c r="C25" s="13"/>
      <c r="E25" s="14"/>
    </row>
    <row r="26" spans="1:11">
      <c r="B26" t="s">
        <v>35</v>
      </c>
      <c r="C26" s="13" t="e">
        <f>SUMPRODUCT(-- ('Decision Points'!J23:J28&gt;0), 'Decision Points'!J23:J28, 'Position Task List'!$H$52:$H$56)</f>
        <v>#REF!</v>
      </c>
      <c r="E26" s="13" t="e">
        <f>SUMPRODUCT(-- ('Decision Points'!J23:J28&lt;0), 'Decision Points'!J23:J28, 'Position Task List'!$H$52:$H$56)</f>
        <v>#REF!</v>
      </c>
    </row>
    <row r="27" spans="1:11">
      <c r="B27" t="s">
        <v>36</v>
      </c>
      <c r="C27" s="13" t="e">
        <f>SUMPRODUCT(-- ('Decision Points'!J29:J34&gt;0), 'Decision Points'!J29:J34, 'Position Task List'!#REF!)</f>
        <v>#REF!</v>
      </c>
      <c r="E27" s="13" t="e">
        <f>SUMPRODUCT(-- ('Decision Points'!J29:J34&lt;0), 'Decision Points'!J29:J34, 'Position Task List'!#REF!)</f>
        <v>#REF!</v>
      </c>
    </row>
    <row r="29" spans="1:11">
      <c r="A29" s="156" t="s">
        <v>37</v>
      </c>
      <c r="B29" s="156"/>
      <c r="C29" s="156"/>
      <c r="D29" s="156"/>
      <c r="E29" s="156"/>
      <c r="F29" s="156"/>
      <c r="G29" s="156"/>
      <c r="H29" s="156"/>
      <c r="I29" s="156"/>
    </row>
    <row r="30" spans="1:11" ht="43.15">
      <c r="A30" s="5" t="s">
        <v>38</v>
      </c>
      <c r="B30" s="5" t="s">
        <v>39</v>
      </c>
      <c r="E30" s="37" t="s">
        <v>40</v>
      </c>
      <c r="F30" s="7" t="s">
        <v>41</v>
      </c>
      <c r="H30" s="7" t="s">
        <v>42</v>
      </c>
      <c r="I30" s="5" t="s">
        <v>43</v>
      </c>
    </row>
    <row r="31" spans="1:11">
      <c r="A31" s="38">
        <v>2</v>
      </c>
      <c r="B31" t="s">
        <v>23</v>
      </c>
      <c r="E31" s="35">
        <f>HLOOKUP($D$2,'Employee Counts'!$A$2:$E$22,A31,FALSE)</f>
        <v>136522.3459610382</v>
      </c>
      <c r="F31" s="35">
        <f>E31*$D$9</f>
        <v>136522.3459610382</v>
      </c>
      <c r="G31" s="12" t="e">
        <f>E31*#REF!</f>
        <v>#REF!</v>
      </c>
      <c r="H31" s="36" t="e">
        <f>G31*$D$9+E40</f>
        <v>#REF!</v>
      </c>
      <c r="I31" s="36" t="e">
        <f>F31+H31</f>
        <v>#REF!</v>
      </c>
    </row>
    <row r="32" spans="1:11">
      <c r="A32">
        <f>A31+12</f>
        <v>14</v>
      </c>
      <c r="B32" t="s">
        <v>44</v>
      </c>
      <c r="E32" s="35">
        <f>HLOOKUP($D$2,'Employee Counts'!$A$2:$E$22,A32,FALSE)</f>
        <v>21206.900668045648</v>
      </c>
      <c r="F32" s="35">
        <f>E32*$D$9</f>
        <v>21206.900668045648</v>
      </c>
      <c r="G32" s="12" t="e">
        <f>E32*#REF!</f>
        <v>#REF!</v>
      </c>
      <c r="H32" s="36" t="e">
        <f>G32*$D$9+E41</f>
        <v>#REF!</v>
      </c>
      <c r="I32" s="36" t="e">
        <f>F32+H32</f>
        <v>#REF!</v>
      </c>
    </row>
    <row r="33" spans="1:9">
      <c r="A33">
        <f>A31+16</f>
        <v>18</v>
      </c>
      <c r="B33" t="s">
        <v>45</v>
      </c>
      <c r="E33" s="35">
        <f>HLOOKUP($D$2,'Employee Counts'!$A$2:$E$22,A33,FALSE)</f>
        <v>12123.007198015341</v>
      </c>
      <c r="F33" s="35">
        <f>E33*$D$9</f>
        <v>12123.007198015341</v>
      </c>
      <c r="G33" s="12" t="e">
        <f>E33*#REF!</f>
        <v>#REF!</v>
      </c>
      <c r="H33" s="36" t="e">
        <f>G33*$D$9+E42</f>
        <v>#REF!</v>
      </c>
      <c r="I33" s="36" t="e">
        <f>F33+H33</f>
        <v>#REF!</v>
      </c>
    </row>
    <row r="34" spans="1:9">
      <c r="A34">
        <f>A31+4</f>
        <v>6</v>
      </c>
      <c r="B34" t="s">
        <v>35</v>
      </c>
      <c r="E34" s="35">
        <f>HLOOKUP($D$2,'Employee Counts'!$A$2:$E$22,A34,FALSE)</f>
        <v>7237.7827966001087</v>
      </c>
      <c r="F34" s="35">
        <f>E34*$D$9</f>
        <v>7237.7827966001087</v>
      </c>
      <c r="G34" s="12" t="e">
        <f>E34*#REF!</f>
        <v>#REF!</v>
      </c>
      <c r="H34" s="36" t="e">
        <f>G34*$D$9+E43</f>
        <v>#REF!</v>
      </c>
      <c r="I34" s="36" t="e">
        <f>F34+H34</f>
        <v>#REF!</v>
      </c>
    </row>
    <row r="35" spans="1:9">
      <c r="A35">
        <f>A31+8</f>
        <v>10</v>
      </c>
      <c r="B35" t="s">
        <v>36</v>
      </c>
      <c r="E35" s="35">
        <f>HLOOKUP($D$2,'Employee Counts'!$A$2:$E$22,A35,FALSE)</f>
        <v>4133.3764742959293</v>
      </c>
      <c r="F35" s="35">
        <f>E35*$D$9</f>
        <v>4133.3764742959293</v>
      </c>
      <c r="G35" s="12" t="e">
        <f>E35*#REF!</f>
        <v>#REF!</v>
      </c>
      <c r="H35" s="36" t="e">
        <f>G35*$D$9+E44</f>
        <v>#REF!</v>
      </c>
      <c r="I35" s="36" t="e">
        <f>F35+H35</f>
        <v>#REF!</v>
      </c>
    </row>
    <row r="37" spans="1:9">
      <c r="A37" s="156" t="s">
        <v>46</v>
      </c>
      <c r="B37" s="156"/>
      <c r="C37" s="156"/>
      <c r="D37" s="156"/>
      <c r="E37" s="156"/>
      <c r="F37" s="156"/>
      <c r="G37" s="156"/>
      <c r="H37" s="156"/>
      <c r="I37" s="156"/>
    </row>
    <row r="39" spans="1:9">
      <c r="A39" s="165" t="s">
        <v>47</v>
      </c>
      <c r="B39" s="165"/>
      <c r="C39" s="5" t="s">
        <v>48</v>
      </c>
      <c r="D39" s="5" t="s">
        <v>49</v>
      </c>
      <c r="E39" s="5" t="s">
        <v>50</v>
      </c>
    </row>
    <row r="40" spans="1:9">
      <c r="A40" t="s">
        <v>51</v>
      </c>
      <c r="B40" t="s">
        <v>23</v>
      </c>
      <c r="C40">
        <v>0</v>
      </c>
      <c r="D40" s="34">
        <f>C40*F31</f>
        <v>0</v>
      </c>
    </row>
    <row r="41" spans="1:9">
      <c r="B41" t="s">
        <v>44</v>
      </c>
    </row>
    <row r="42" spans="1:9">
      <c r="A42" t="s">
        <v>52</v>
      </c>
      <c r="B42" t="s">
        <v>45</v>
      </c>
      <c r="E42" s="12">
        <f>D40/8</f>
        <v>0</v>
      </c>
    </row>
    <row r="43" spans="1:9">
      <c r="B43" t="s">
        <v>35</v>
      </c>
    </row>
    <row r="44" spans="1:9">
      <c r="B44" t="s">
        <v>36</v>
      </c>
    </row>
  </sheetData>
  <mergeCells count="7">
    <mergeCell ref="A37:I37"/>
    <mergeCell ref="A39:B39"/>
    <mergeCell ref="A1:I1"/>
    <mergeCell ref="A5:I5"/>
    <mergeCell ref="A10:I10"/>
    <mergeCell ref="A29:I29"/>
    <mergeCell ref="A3:I3"/>
  </mergeCells>
  <pageMargins left="0.7" right="0.7" top="0.75" bottom="0.75" header="0.3" footer="0.3"/>
  <pageSetup scale="91" orientation="landscape" horizontalDpi="300" verticalDpi="300" r:id="rId1"/>
  <extLst>
    <ext xmlns:x14="http://schemas.microsoft.com/office/spreadsheetml/2009/9/main" uri="{78C0D931-6437-407d-A8EE-F0AAD7539E65}">
      <x14:conditionalFormattings>
        <x14:conditionalFormatting xmlns:xm="http://schemas.microsoft.com/office/excel/2006/main">
          <x14:cfRule type="iconSet" priority="1" id="{F24BF409-3F04-4AB6-8F27-674554E602EF}">
            <x14:iconSet iconSet="3Triangles">
              <x14:cfvo type="percent">
                <xm:f>0</xm:f>
              </x14:cfvo>
              <x14:cfvo type="num">
                <xm:f>-0.1</xm:f>
              </x14:cfvo>
              <x14:cfvo type="num">
                <xm:f>0</xm:f>
              </x14:cfvo>
            </x14:iconSet>
          </x14:cfRule>
          <xm:sqref>G12:G24</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CF2F525F-FAB0-47DF-A612-8D0965B3DAD8}">
          <x14:formula1>
            <xm:f>'Decision Points'!$G$1:$I$1</xm:f>
          </x14:formula1>
          <xm:sqref>D2</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230963-A6A8-472F-A405-1854CC6EC4E5}">
  <dimension ref="A1:U120"/>
  <sheetViews>
    <sheetView topLeftCell="A99" zoomScale="80" zoomScaleNormal="80" workbookViewId="0">
      <selection activeCell="B106" sqref="B106"/>
    </sheetView>
  </sheetViews>
  <sheetFormatPr defaultColWidth="9" defaultRowHeight="14.45"/>
  <cols>
    <col min="1" max="1" width="14" customWidth="1"/>
    <col min="2" max="2" width="26.42578125" customWidth="1"/>
    <col min="3" max="3" width="75.7109375" customWidth="1"/>
    <col min="4" max="8" width="10.28515625" customWidth="1"/>
    <col min="9" max="9" width="13.140625" customWidth="1"/>
    <col min="10" max="13" width="10.28515625" customWidth="1"/>
    <col min="14" max="14" width="11.28515625" customWidth="1"/>
    <col min="15" max="15" width="12.42578125" customWidth="1"/>
    <col min="20" max="20" width="20.28515625" customWidth="1"/>
    <col min="21" max="21" width="42.5703125" customWidth="1"/>
  </cols>
  <sheetData>
    <row r="1" spans="1:21" ht="18.600000000000001" thickBot="1">
      <c r="A1" s="3" t="s">
        <v>53</v>
      </c>
      <c r="J1" s="157" t="s">
        <v>54</v>
      </c>
      <c r="K1" s="157"/>
      <c r="L1" s="157"/>
      <c r="M1" s="157"/>
    </row>
    <row r="2" spans="1:21" ht="57.6">
      <c r="A2" s="72" t="s">
        <v>55</v>
      </c>
      <c r="B2" s="72" t="s">
        <v>56</v>
      </c>
      <c r="C2" s="72" t="s">
        <v>57</v>
      </c>
      <c r="D2" s="73" t="s">
        <v>58</v>
      </c>
      <c r="E2" s="73" t="s">
        <v>59</v>
      </c>
      <c r="F2" s="73" t="s">
        <v>60</v>
      </c>
      <c r="G2" s="74" t="s">
        <v>61</v>
      </c>
      <c r="H2" s="74" t="s">
        <v>62</v>
      </c>
      <c r="I2" s="74" t="s">
        <v>63</v>
      </c>
      <c r="J2" s="107" t="s">
        <v>64</v>
      </c>
      <c r="K2" s="107" t="s">
        <v>65</v>
      </c>
      <c r="L2" s="107" t="s">
        <v>66</v>
      </c>
      <c r="M2" s="107" t="s">
        <v>67</v>
      </c>
      <c r="T2" s="158" t="s">
        <v>68</v>
      </c>
      <c r="U2" s="159"/>
    </row>
    <row r="3" spans="1:21" ht="34.9">
      <c r="A3" s="108" t="s">
        <v>69</v>
      </c>
      <c r="B3" s="109" t="s">
        <v>70</v>
      </c>
      <c r="C3" s="110" t="s">
        <v>71</v>
      </c>
      <c r="D3" s="111">
        <v>2</v>
      </c>
      <c r="E3" s="111">
        <v>260</v>
      </c>
      <c r="F3" s="130">
        <f>(Operator[[#This Row],[Level of Effort (Minutes) ]]*Operator[[#This Row],[Frequency (Days in a Year)]])/60</f>
        <v>8.6666666666666661</v>
      </c>
      <c r="G3" s="130">
        <f>Operator[[#This Row],[Effective Annual Hours]]/260</f>
        <v>3.3333333333333333E-2</v>
      </c>
      <c r="H3" s="112">
        <f>Operator[[#This Row],[Effective Annual Hours]]/Operator[[#Totals],[Effective Annual Hours]]</f>
        <v>4.1666666666666666E-3</v>
      </c>
      <c r="I3" s="108">
        <v>0</v>
      </c>
      <c r="J3" s="108">
        <v>2</v>
      </c>
      <c r="K3" s="108">
        <v>260</v>
      </c>
      <c r="L3" s="130">
        <f>(Operator[[#This Row],[1a: Level of Effort (Minutes)]]*Operator[[#This Row],[1a: Frequency (Days in a Year)]])/60</f>
        <v>8.6666666666666661</v>
      </c>
      <c r="M3" s="113">
        <f>IFERROR((Operator[[#This Row],[1a: Effective Annual Hours]]-Operator[[#This Row],[Effective Annual Hours]])/Operator[[#This Row],[Effective Annual Hours]],0)</f>
        <v>0</v>
      </c>
      <c r="T3" s="52" t="s">
        <v>72</v>
      </c>
      <c r="U3" s="53" t="s">
        <v>73</v>
      </c>
    </row>
    <row r="4" spans="1:21" s="58" customFormat="1" ht="24" customHeight="1">
      <c r="A4" s="114" t="s">
        <v>74</v>
      </c>
      <c r="B4" s="115" t="s">
        <v>75</v>
      </c>
      <c r="C4" s="116" t="s">
        <v>76</v>
      </c>
      <c r="D4" s="117">
        <v>2</v>
      </c>
      <c r="E4" s="117">
        <v>260</v>
      </c>
      <c r="F4" s="130">
        <f>(Operator[[#This Row],[Level of Effort (Minutes) ]]*Operator[[#This Row],[Frequency (Days in a Year)]])/60</f>
        <v>8.6666666666666661</v>
      </c>
      <c r="G4" s="130">
        <f>Operator[[#This Row],[Effective Annual Hours]]/260</f>
        <v>3.3333333333333333E-2</v>
      </c>
      <c r="H4" s="112">
        <f>Operator[[#This Row],[Effective Annual Hours]]/Operator[[#Totals],[Effective Annual Hours]]</f>
        <v>4.1666666666666666E-3</v>
      </c>
      <c r="I4" s="114" t="s">
        <v>77</v>
      </c>
      <c r="J4" s="114">
        <v>0</v>
      </c>
      <c r="K4" s="114">
        <v>0</v>
      </c>
      <c r="L4" s="130">
        <f>(Operator[[#This Row],[1a: Level of Effort (Minutes)]]*Operator[[#This Row],[1a: Frequency (Days in a Year)]])/60</f>
        <v>0</v>
      </c>
      <c r="M4" s="113">
        <f>IFERROR((Operator[[#This Row],[1a: Effective Annual Hours]]-Operator[[#This Row],[Effective Annual Hours]])/Operator[[#This Row],[Effective Annual Hours]],0)</f>
        <v>-1</v>
      </c>
      <c r="N4"/>
      <c r="O4"/>
      <c r="T4" s="52"/>
      <c r="U4" s="59"/>
    </row>
    <row r="5" spans="1:21" ht="17.45">
      <c r="A5" s="108" t="s">
        <v>78</v>
      </c>
      <c r="B5" s="109" t="s">
        <v>79</v>
      </c>
      <c r="C5" s="110" t="s">
        <v>80</v>
      </c>
      <c r="D5" s="111">
        <v>5</v>
      </c>
      <c r="E5" s="111">
        <v>260</v>
      </c>
      <c r="F5" s="130">
        <f>(Operator[[#This Row],[Level of Effort (Minutes) ]]*Operator[[#This Row],[Frequency (Days in a Year)]])/60</f>
        <v>21.666666666666668</v>
      </c>
      <c r="G5" s="130">
        <f>Operator[[#This Row],[Effective Annual Hours]]/260</f>
        <v>8.3333333333333343E-2</v>
      </c>
      <c r="H5" s="112">
        <f>Operator[[#This Row],[Effective Annual Hours]]/Operator[[#Totals],[Effective Annual Hours]]</f>
        <v>1.0416666666666668E-2</v>
      </c>
      <c r="I5" s="108" t="s">
        <v>77</v>
      </c>
      <c r="J5" s="108">
        <v>2</v>
      </c>
      <c r="K5" s="108">
        <v>260</v>
      </c>
      <c r="L5" s="130">
        <f>(Operator[[#This Row],[1a: Level of Effort (Minutes)]]*Operator[[#This Row],[1a: Frequency (Days in a Year)]])/60</f>
        <v>8.6666666666666661</v>
      </c>
      <c r="M5" s="113">
        <f>IFERROR((Operator[[#This Row],[1a: Effective Annual Hours]]-Operator[[#This Row],[Effective Annual Hours]])/Operator[[#This Row],[Effective Annual Hours]],0)</f>
        <v>-0.60000000000000009</v>
      </c>
      <c r="T5" s="54" t="s">
        <v>81</v>
      </c>
      <c r="U5" s="53" t="s">
        <v>82</v>
      </c>
    </row>
    <row r="6" spans="1:21" s="50" customFormat="1" ht="39.75" customHeight="1">
      <c r="A6" s="114" t="s">
        <v>83</v>
      </c>
      <c r="B6" s="110" t="s">
        <v>84</v>
      </c>
      <c r="C6" s="110" t="s">
        <v>85</v>
      </c>
      <c r="D6" s="111">
        <v>15</v>
      </c>
      <c r="E6" s="111">
        <v>260</v>
      </c>
      <c r="F6" s="130">
        <f>(Operator[[#This Row],[Level of Effort (Minutes) ]]*Operator[[#This Row],[Frequency (Days in a Year)]])/60</f>
        <v>65</v>
      </c>
      <c r="G6" s="130">
        <f>Operator[[#This Row],[Effective Annual Hours]]/260</f>
        <v>0.25</v>
      </c>
      <c r="H6" s="112">
        <f>Operator[[#This Row],[Effective Annual Hours]]/Operator[[#Totals],[Effective Annual Hours]]</f>
        <v>3.125E-2</v>
      </c>
      <c r="I6" s="108">
        <v>0</v>
      </c>
      <c r="J6" s="108">
        <v>15</v>
      </c>
      <c r="K6" s="108">
        <v>260</v>
      </c>
      <c r="L6" s="130">
        <f>(Operator[[#This Row],[1a: Level of Effort (Minutes)]]*Operator[[#This Row],[1a: Frequency (Days in a Year)]])/60</f>
        <v>65</v>
      </c>
      <c r="M6" s="113">
        <f>IFERROR((Operator[[#This Row],[1a: Effective Annual Hours]]-Operator[[#This Row],[Effective Annual Hours]])/Operator[[#This Row],[Effective Annual Hours]],0)</f>
        <v>0</v>
      </c>
      <c r="N6"/>
      <c r="O6"/>
      <c r="T6" s="55" t="s">
        <v>86</v>
      </c>
      <c r="U6" s="53" t="s">
        <v>87</v>
      </c>
    </row>
    <row r="7" spans="1:21" s="50" customFormat="1" ht="34.9">
      <c r="A7" s="108" t="s">
        <v>88</v>
      </c>
      <c r="B7" s="110" t="s">
        <v>89</v>
      </c>
      <c r="C7" s="110" t="s">
        <v>90</v>
      </c>
      <c r="D7" s="111">
        <v>2</v>
      </c>
      <c r="E7" s="111">
        <v>260</v>
      </c>
      <c r="F7" s="130">
        <f>(Operator[[#This Row],[Level of Effort (Minutes) ]]*Operator[[#This Row],[Frequency (Days in a Year)]])/60</f>
        <v>8.6666666666666661</v>
      </c>
      <c r="G7" s="130">
        <f>Operator[[#This Row],[Effective Annual Hours]]/260</f>
        <v>3.3333333333333333E-2</v>
      </c>
      <c r="H7" s="112">
        <f>Operator[[#This Row],[Effective Annual Hours]]/Operator[[#Totals],[Effective Annual Hours]]</f>
        <v>4.1666666666666666E-3</v>
      </c>
      <c r="I7" s="108">
        <v>0</v>
      </c>
      <c r="J7" s="108">
        <v>0</v>
      </c>
      <c r="K7" s="108">
        <v>260</v>
      </c>
      <c r="L7" s="130">
        <f>(Operator[[#This Row],[1a: Level of Effort (Minutes)]]*Operator[[#This Row],[1a: Frequency (Days in a Year)]])/60</f>
        <v>0</v>
      </c>
      <c r="M7" s="113">
        <f>IFERROR((Operator[[#This Row],[1a: Effective Annual Hours]]-Operator[[#This Row],[Effective Annual Hours]])/Operator[[#This Row],[Effective Annual Hours]],0)</f>
        <v>-1</v>
      </c>
      <c r="N7"/>
      <c r="O7"/>
      <c r="T7" s="63"/>
      <c r="U7" s="64"/>
    </row>
    <row r="8" spans="1:21" ht="36" customHeight="1" thickBot="1">
      <c r="A8" s="114" t="s">
        <v>91</v>
      </c>
      <c r="B8" s="118" t="s">
        <v>92</v>
      </c>
      <c r="C8" s="119" t="s">
        <v>93</v>
      </c>
      <c r="D8" s="120">
        <v>444</v>
      </c>
      <c r="E8" s="111">
        <v>260</v>
      </c>
      <c r="F8" s="130">
        <f>(Operator[[#This Row],[Level of Effort (Minutes) ]]*Operator[[#This Row],[Frequency (Days in a Year)]])/60</f>
        <v>1924</v>
      </c>
      <c r="G8" s="130">
        <f>Operator[[#This Row],[Effective Annual Hours]]/260</f>
        <v>7.4</v>
      </c>
      <c r="H8" s="112">
        <f>Operator[[#This Row],[Effective Annual Hours]]/Operator[[#Totals],[Effective Annual Hours]]</f>
        <v>0.92500000000000004</v>
      </c>
      <c r="I8" s="108">
        <v>0</v>
      </c>
      <c r="J8" s="108">
        <v>451</v>
      </c>
      <c r="K8" s="108">
        <v>260</v>
      </c>
      <c r="L8" s="130">
        <f>(Operator[[#This Row],[1a: Level of Effort (Minutes)]]*Operator[[#This Row],[1a: Frequency (Days in a Year)]])/60</f>
        <v>1954.3333333333333</v>
      </c>
      <c r="M8" s="113">
        <f>IFERROR((Operator[[#This Row],[1a: Effective Annual Hours]]-Operator[[#This Row],[Effective Annual Hours]])/Operator[[#This Row],[Effective Annual Hours]],0)</f>
        <v>1.5765765765765726E-2</v>
      </c>
      <c r="T8" s="56" t="s">
        <v>94</v>
      </c>
      <c r="U8" s="57" t="s">
        <v>95</v>
      </c>
    </row>
    <row r="9" spans="1:21" ht="36.75" customHeight="1">
      <c r="A9" s="108" t="s">
        <v>96</v>
      </c>
      <c r="B9" s="121" t="s">
        <v>97</v>
      </c>
      <c r="C9" s="122" t="s">
        <v>98</v>
      </c>
      <c r="D9" s="123">
        <v>5</v>
      </c>
      <c r="E9" s="123">
        <v>260</v>
      </c>
      <c r="F9" s="130">
        <f>(Operator[[#This Row],[Level of Effort (Minutes) ]]*Operator[[#This Row],[Frequency (Days in a Year)]])/60</f>
        <v>21.666666666666668</v>
      </c>
      <c r="G9" s="130">
        <f>Operator[[#This Row],[Effective Annual Hours]]/260</f>
        <v>8.3333333333333343E-2</v>
      </c>
      <c r="H9" s="112">
        <f>Operator[[#This Row],[Effective Annual Hours]]/Operator[[#Totals],[Effective Annual Hours]]</f>
        <v>1.0416666666666668E-2</v>
      </c>
      <c r="I9" s="108" t="s">
        <v>77</v>
      </c>
      <c r="J9" s="108">
        <v>5</v>
      </c>
      <c r="K9" s="108">
        <v>260</v>
      </c>
      <c r="L9" s="130">
        <f>(Operator[[#This Row],[1a: Level of Effort (Minutes)]]*Operator[[#This Row],[1a: Frequency (Days in a Year)]])/60</f>
        <v>21.666666666666668</v>
      </c>
      <c r="M9" s="113">
        <f>IFERROR((Operator[[#This Row],[1a: Effective Annual Hours]]-Operator[[#This Row],[Effective Annual Hours]])/Operator[[#This Row],[Effective Annual Hours]],0)</f>
        <v>0</v>
      </c>
    </row>
    <row r="10" spans="1:21" ht="40.5" customHeight="1">
      <c r="A10" s="114" t="s">
        <v>99</v>
      </c>
      <c r="B10" s="109" t="s">
        <v>100</v>
      </c>
      <c r="C10" s="110" t="s">
        <v>101</v>
      </c>
      <c r="D10" s="111">
        <v>5</v>
      </c>
      <c r="E10" s="111">
        <v>260</v>
      </c>
      <c r="F10" s="130">
        <f>(Operator[[#This Row],[Level of Effort (Minutes) ]]*Operator[[#This Row],[Frequency (Days in a Year)]])/60</f>
        <v>21.666666666666668</v>
      </c>
      <c r="G10" s="130">
        <f>Operator[[#This Row],[Effective Annual Hours]]/260</f>
        <v>8.3333333333333343E-2</v>
      </c>
      <c r="H10" s="112">
        <f>Operator[[#This Row],[Effective Annual Hours]]/Operator[[#Totals],[Effective Annual Hours]]</f>
        <v>1.0416666666666668E-2</v>
      </c>
      <c r="I10" s="108">
        <v>0</v>
      </c>
      <c r="J10" s="108">
        <v>5</v>
      </c>
      <c r="K10" s="108">
        <v>260</v>
      </c>
      <c r="L10" s="130">
        <f>(Operator[[#This Row],[1a: Level of Effort (Minutes)]]*Operator[[#This Row],[1a: Frequency (Days in a Year)]])/60</f>
        <v>21.666666666666668</v>
      </c>
      <c r="M10" s="113">
        <f>IFERROR((Operator[[#This Row],[1a: Effective Annual Hours]]-Operator[[#This Row],[Effective Annual Hours]])/Operator[[#This Row],[Effective Annual Hours]],0)</f>
        <v>0</v>
      </c>
    </row>
    <row r="11" spans="1:21" ht="17.45">
      <c r="A11" s="124" t="s">
        <v>39</v>
      </c>
      <c r="B11" s="125"/>
      <c r="C11" s="122"/>
      <c r="D11" s="126">
        <f>SUBTOTAL(109,Operator[Level of Effort (Minutes) ])</f>
        <v>480</v>
      </c>
      <c r="E11" s="127"/>
      <c r="F11" s="131">
        <f>SUBTOTAL(109,Operator[Effective Annual Hours])</f>
        <v>2080</v>
      </c>
      <c r="G11" s="131">
        <f>SUBTOTAL(109,Operator[Effective Daily Hours])</f>
        <v>8</v>
      </c>
      <c r="H11" s="128"/>
      <c r="I11" s="128"/>
      <c r="J11" s="128">
        <f>SUBTOTAL(109,Operator[1a: Level of Effort (Minutes)])</f>
        <v>480</v>
      </c>
      <c r="K11" s="128"/>
      <c r="L11" s="131">
        <f>SUBTOTAL(109,Operator[1a: Effective Annual Hours])</f>
        <v>2079.9999999999995</v>
      </c>
      <c r="M11" s="129">
        <f>(Operator[[#Totals],[1a: Effective Annual Hours]]-Operator[[#Totals],[Effective Annual Hours]])/Operator[[#Totals],[Effective Annual Hours]]</f>
        <v>-2.1862853408003084E-16</v>
      </c>
    </row>
    <row r="13" spans="1:21">
      <c r="C13" s="10"/>
      <c r="D13" s="10"/>
      <c r="E13" s="10"/>
      <c r="F13" s="10"/>
      <c r="G13" s="10"/>
      <c r="H13" s="14"/>
    </row>
    <row r="14" spans="1:21" ht="18">
      <c r="A14" s="3" t="s">
        <v>102</v>
      </c>
      <c r="J14" s="157" t="s">
        <v>54</v>
      </c>
      <c r="K14" s="157"/>
      <c r="L14" s="157"/>
      <c r="M14" s="157"/>
    </row>
    <row r="15" spans="1:21" ht="57.6">
      <c r="A15" s="72" t="s">
        <v>55</v>
      </c>
      <c r="B15" s="72" t="s">
        <v>56</v>
      </c>
      <c r="C15" s="72" t="s">
        <v>57</v>
      </c>
      <c r="D15" s="73" t="s">
        <v>58</v>
      </c>
      <c r="E15" s="73" t="s">
        <v>59</v>
      </c>
      <c r="F15" s="73" t="s">
        <v>60</v>
      </c>
      <c r="G15" s="74" t="s">
        <v>61</v>
      </c>
      <c r="H15" s="74" t="s">
        <v>62</v>
      </c>
      <c r="I15" s="74" t="s">
        <v>63</v>
      </c>
      <c r="J15" s="107" t="s">
        <v>64</v>
      </c>
      <c r="K15" s="107" t="s">
        <v>65</v>
      </c>
      <c r="L15" s="107" t="s">
        <v>66</v>
      </c>
      <c r="M15" s="148" t="s">
        <v>67</v>
      </c>
    </row>
    <row r="16" spans="1:21" ht="28.9">
      <c r="A16" s="149" t="s">
        <v>103</v>
      </c>
      <c r="B16" s="41" t="s">
        <v>104</v>
      </c>
      <c r="C16" s="41" t="s">
        <v>105</v>
      </c>
      <c r="D16" s="70">
        <v>15</v>
      </c>
      <c r="E16" s="70">
        <v>260</v>
      </c>
      <c r="F16" s="70">
        <f>(MechYard[[#This Row],[Level of Effort (Minutes) ]]*MechYard[[#This Row],[Frequency (Days in a Year)]])/60</f>
        <v>65</v>
      </c>
      <c r="G16" s="84">
        <f>MechYard[[#This Row],[Effective Annual Hours]]/260</f>
        <v>0.25</v>
      </c>
      <c r="H16" s="150">
        <f>IFERROR(MechYard[[#This Row],[Effective Annual Hours]]/MechYard[[#Totals],[Effective Annual Hours]],0)</f>
        <v>3.125E-2</v>
      </c>
      <c r="I16" s="67">
        <v>0</v>
      </c>
      <c r="J16" s="67">
        <v>15</v>
      </c>
      <c r="K16" s="67">
        <v>260</v>
      </c>
      <c r="L16" s="67">
        <f>(MechYard[[#This Row],[1a: Level of Effort (Minutes)]]*MechYard[[#This Row],[1a: Frequency (Days in a Year)]])/60</f>
        <v>65</v>
      </c>
      <c r="M16" s="150">
        <f>IFERROR((MechYard[[#This Row],[1a: Effective Annual Hours]]-MechYard[[#This Row],[Effective Annual Hours]])/MechYard[[#This Row],[Effective Annual Hours]],0)</f>
        <v>0</v>
      </c>
    </row>
    <row r="17" spans="1:16" s="58" customFormat="1" ht="136.5" customHeight="1">
      <c r="A17" s="149" t="s">
        <v>106</v>
      </c>
      <c r="B17" s="42" t="s">
        <v>107</v>
      </c>
      <c r="C17" s="41" t="s">
        <v>108</v>
      </c>
      <c r="D17" s="70">
        <v>180</v>
      </c>
      <c r="E17" s="70">
        <v>260</v>
      </c>
      <c r="F17" s="70">
        <f>(MechYard[[#This Row],[Level of Effort (Minutes) ]]*MechYard[[#This Row],[Frequency (Days in a Year)]])/60</f>
        <v>780</v>
      </c>
      <c r="G17" s="84">
        <f>MechYard[[#This Row],[Effective Annual Hours]]/260</f>
        <v>3</v>
      </c>
      <c r="H17" s="150">
        <f>IFERROR(MechYard[[#This Row],[Effective Annual Hours]]/MechYard[[#Totals],[Effective Annual Hours]],0)</f>
        <v>0.375</v>
      </c>
      <c r="I17" s="67" t="s">
        <v>77</v>
      </c>
      <c r="J17" s="95">
        <f>MechYard[[#This Row],[Level of Effort (Minutes) ]]*1.1</f>
        <v>198.00000000000003</v>
      </c>
      <c r="K17" s="67">
        <v>260</v>
      </c>
      <c r="L17" s="67">
        <f>(MechYard[[#This Row],[1a: Level of Effort (Minutes)]]*MechYard[[#This Row],[1a: Frequency (Days in a Year)]])/60</f>
        <v>858.00000000000011</v>
      </c>
      <c r="M17" s="150">
        <f>IFERROR((MechYard[[#This Row],[1a: Effective Annual Hours]]-MechYard[[#This Row],[Effective Annual Hours]])/MechYard[[#This Row],[Effective Annual Hours]],0)</f>
        <v>0.10000000000000014</v>
      </c>
      <c r="N17"/>
      <c r="O17"/>
    </row>
    <row r="18" spans="1:16" s="58" customFormat="1" ht="43.15">
      <c r="A18" s="152" t="s">
        <v>109</v>
      </c>
      <c r="B18" s="41" t="s">
        <v>110</v>
      </c>
      <c r="C18" s="41" t="s">
        <v>111</v>
      </c>
      <c r="D18" s="70">
        <v>255</v>
      </c>
      <c r="E18" s="70">
        <v>260</v>
      </c>
      <c r="F18" s="70">
        <f>(MechYard[[#This Row],[Level of Effort (Minutes) ]]*MechYard[[#This Row],[Frequency (Days in a Year)]])/60</f>
        <v>1105</v>
      </c>
      <c r="G18" s="84">
        <f>MechYard[[#This Row],[Effective Annual Hours]]/260</f>
        <v>4.25</v>
      </c>
      <c r="H18" s="150">
        <f>IFERROR(MechYard[[#This Row],[Effective Annual Hours]]/MechYard[[#Totals],[Effective Annual Hours]],0)</f>
        <v>0.53125</v>
      </c>
      <c r="I18" s="67" t="s">
        <v>77</v>
      </c>
      <c r="J18" s="67">
        <f>ROUND(MechYard[[#This Row],[Level of Effort (Minutes) ]]*1.1,0)</f>
        <v>281</v>
      </c>
      <c r="K18" s="67">
        <v>260</v>
      </c>
      <c r="L18" s="67">
        <f>(MechYard[[#This Row],[1a: Level of Effort (Minutes)]]*MechYard[[#This Row],[1a: Frequency (Days in a Year)]])/60</f>
        <v>1217.6666666666667</v>
      </c>
      <c r="M18" s="150">
        <f>IFERROR((MechYard[[#This Row],[1a: Effective Annual Hours]]-MechYard[[#This Row],[Effective Annual Hours]])/MechYard[[#This Row],[Effective Annual Hours]],0)</f>
        <v>0.10196078431372556</v>
      </c>
      <c r="N18"/>
      <c r="O18" s="154">
        <f>281/60</f>
        <v>4.6833333333333336</v>
      </c>
      <c r="P18" s="58">
        <f>0.68*60</f>
        <v>40.800000000000004</v>
      </c>
    </row>
    <row r="19" spans="1:16" s="58" customFormat="1">
      <c r="A19" s="152" t="s">
        <v>112</v>
      </c>
      <c r="B19" s="39" t="s">
        <v>113</v>
      </c>
      <c r="C19" s="39" t="s">
        <v>114</v>
      </c>
      <c r="D19" s="70">
        <v>30</v>
      </c>
      <c r="E19" s="70">
        <v>260</v>
      </c>
      <c r="F19" s="70">
        <f>(MechYard[[#This Row],[Level of Effort (Minutes) ]]*MechYard[[#This Row],[Frequency (Days in a Year)]])/60</f>
        <v>130</v>
      </c>
      <c r="G19" s="84">
        <f>MechYard[[#This Row],[Effective Annual Hours]]/260</f>
        <v>0.5</v>
      </c>
      <c r="H19" s="150">
        <f>IFERROR(MechYard[[#This Row],[Effective Annual Hours]]/MechYard[[#Totals],[Effective Annual Hours]],0)</f>
        <v>6.25E-2</v>
      </c>
      <c r="I19" s="67">
        <v>0</v>
      </c>
      <c r="J19" s="67">
        <v>30</v>
      </c>
      <c r="K19" s="67">
        <v>260</v>
      </c>
      <c r="L19" s="67">
        <f>(MechYard[[#This Row],[1a: Level of Effort (Minutes)]]*MechYard[[#This Row],[1a: Frequency (Days in a Year)]])/60</f>
        <v>130</v>
      </c>
      <c r="M19" s="150">
        <f>IFERROR((MechYard[[#This Row],[1a: Effective Annual Hours]]-MechYard[[#This Row],[Effective Annual Hours]])/MechYard[[#This Row],[Effective Annual Hours]],0)</f>
        <v>0</v>
      </c>
      <c r="N19"/>
      <c r="O19"/>
    </row>
    <row r="20" spans="1:16" s="58" customFormat="1">
      <c r="A20" s="15" t="s">
        <v>39</v>
      </c>
      <c r="B20"/>
      <c r="C20"/>
      <c r="D20" s="10">
        <f>SUBTOTAL(109,MechYard[Level of Effort (Minutes) ])</f>
        <v>480</v>
      </c>
      <c r="E20" s="10"/>
      <c r="F20" s="10">
        <f>SUBTOTAL(109,MechYard[Effective Annual Hours])</f>
        <v>2080</v>
      </c>
      <c r="G20" s="98">
        <f>SUBTOTAL(109,MechYard[Effective Daily Hours])</f>
        <v>8</v>
      </c>
      <c r="H20"/>
      <c r="I20"/>
      <c r="J20">
        <f>SUBTOTAL(109,MechYard[1a: Level of Effort (Minutes)])</f>
        <v>524</v>
      </c>
      <c r="K20"/>
      <c r="L20">
        <f>SUBTOTAL(109,MechYard[1a: Effective Annual Hours])</f>
        <v>2270.666666666667</v>
      </c>
      <c r="M20" s="151">
        <f>IFERROR((MechYard[[#Totals],[1a: Effective Annual Hours]]-MechYard[[#Totals],[Effective Annual Hours]])/MechYard[[#Totals],[Effective Annual Hours]],0)</f>
        <v>9.1666666666666813E-2</v>
      </c>
      <c r="N20"/>
      <c r="O20"/>
    </row>
    <row r="21" spans="1:16" s="60" customFormat="1">
      <c r="A21"/>
      <c r="B21"/>
      <c r="C21"/>
      <c r="D21"/>
      <c r="E21"/>
      <c r="F21"/>
      <c r="G21"/>
      <c r="H21"/>
      <c r="I21"/>
      <c r="J21"/>
      <c r="K21"/>
      <c r="L21"/>
      <c r="M21"/>
      <c r="N21"/>
      <c r="O21"/>
    </row>
    <row r="22" spans="1:16" s="60" customFormat="1" ht="18">
      <c r="A22" s="3" t="s">
        <v>115</v>
      </c>
      <c r="B22"/>
      <c r="C22"/>
      <c r="D22"/>
      <c r="E22"/>
      <c r="F22"/>
      <c r="G22"/>
      <c r="H22"/>
      <c r="I22"/>
      <c r="J22" s="157" t="s">
        <v>54</v>
      </c>
      <c r="K22" s="157"/>
      <c r="L22" s="157"/>
      <c r="M22" s="157"/>
      <c r="N22"/>
      <c r="O22"/>
    </row>
    <row r="23" spans="1:16" s="60" customFormat="1" ht="57.6">
      <c r="A23" s="72" t="s">
        <v>55</v>
      </c>
      <c r="B23" s="72" t="s">
        <v>56</v>
      </c>
      <c r="C23" s="72" t="s">
        <v>57</v>
      </c>
      <c r="D23" s="73" t="s">
        <v>58</v>
      </c>
      <c r="E23" s="73" t="s">
        <v>59</v>
      </c>
      <c r="F23" s="73" t="s">
        <v>60</v>
      </c>
      <c r="G23" s="74" t="s">
        <v>61</v>
      </c>
      <c r="H23" s="74" t="s">
        <v>62</v>
      </c>
      <c r="I23" s="74" t="s">
        <v>63</v>
      </c>
      <c r="J23" s="107" t="s">
        <v>64</v>
      </c>
      <c r="K23" s="107" t="s">
        <v>65</v>
      </c>
      <c r="L23" s="107" t="s">
        <v>66</v>
      </c>
      <c r="M23" s="107" t="s">
        <v>67</v>
      </c>
      <c r="N23"/>
      <c r="O23"/>
    </row>
    <row r="24" spans="1:16" s="58" customFormat="1" ht="28.9">
      <c r="A24" s="149" t="s">
        <v>116</v>
      </c>
      <c r="B24" s="41" t="s">
        <v>104</v>
      </c>
      <c r="C24" s="41" t="s">
        <v>105</v>
      </c>
      <c r="D24" s="76">
        <v>15</v>
      </c>
      <c r="E24" s="70">
        <v>260</v>
      </c>
      <c r="F24" s="70">
        <f>(MechElec[[#This Row],[Level of Effort (Minutes) ]]*MechElec[[#This Row],[Frequency (Days in a Year)]])/60</f>
        <v>65</v>
      </c>
      <c r="G24" s="84">
        <f>MechElec[[#This Row],[Effective Annual Hours]]/260</f>
        <v>0.25</v>
      </c>
      <c r="H24" s="150">
        <f>IFERROR(MechElec[[#This Row],[Effective Annual Hours]]/MechElec[[#Totals],[Effective Annual Hours]],0)</f>
        <v>3.125E-2</v>
      </c>
      <c r="I24" s="67">
        <v>0</v>
      </c>
      <c r="J24" s="67">
        <v>15</v>
      </c>
      <c r="K24" s="67">
        <v>260</v>
      </c>
      <c r="L24" s="67">
        <f>(MechElec[[#This Row],[1a: Level of Effort (Minutes)]]*MechElec[[#This Row],[1a: Frequency (Days in a Year)]])/60</f>
        <v>65</v>
      </c>
      <c r="M24" s="150">
        <f>IFERROR((MechElec[[#This Row],[1a: Effective Annual Hours]]-MechElec[[#This Row],[Effective Annual Hours]])/MechElec[[#This Row],[Effective Annual Hours]],0)</f>
        <v>0</v>
      </c>
      <c r="N24"/>
      <c r="O24"/>
    </row>
    <row r="25" spans="1:16" ht="57.6">
      <c r="A25" s="149" t="s">
        <v>117</v>
      </c>
      <c r="B25" s="41" t="s">
        <v>118</v>
      </c>
      <c r="C25" s="41" t="s">
        <v>119</v>
      </c>
      <c r="D25" s="76">
        <v>375</v>
      </c>
      <c r="E25" s="70">
        <v>260</v>
      </c>
      <c r="F25" s="70">
        <f>(MechElec[[#This Row],[Level of Effort (Minutes) ]]*MechElec[[#This Row],[Frequency (Days in a Year)]])/60</f>
        <v>1625</v>
      </c>
      <c r="G25" s="84">
        <f>MechElec[[#This Row],[Effective Annual Hours]]/260</f>
        <v>6.25</v>
      </c>
      <c r="H25" s="150">
        <f>IFERROR(MechElec[[#This Row],[Effective Annual Hours]]/MechElec[[#Totals],[Effective Annual Hours]],0)</f>
        <v>0.78125</v>
      </c>
      <c r="I25" s="67">
        <v>0</v>
      </c>
      <c r="J25" s="67">
        <f>ROUND(MechElec[[#This Row],[Level of Effort (Minutes) ]]*1.25,0)</f>
        <v>469</v>
      </c>
      <c r="K25" s="67">
        <v>260</v>
      </c>
      <c r="L25" s="67">
        <f>(MechElec[[#This Row],[1a: Level of Effort (Minutes)]]*MechElec[[#This Row],[1a: Frequency (Days in a Year)]])/60</f>
        <v>2032.3333333333333</v>
      </c>
      <c r="M25" s="150">
        <f>IFERROR((MechElec[[#This Row],[1a: Effective Annual Hours]]-MechElec[[#This Row],[Effective Annual Hours]])/MechElec[[#This Row],[Effective Annual Hours]],0)</f>
        <v>0.25066666666666659</v>
      </c>
    </row>
    <row r="26" spans="1:16" ht="28.9">
      <c r="A26" s="149" t="s">
        <v>120</v>
      </c>
      <c r="B26" s="153" t="s">
        <v>121</v>
      </c>
      <c r="C26" s="62" t="s">
        <v>122</v>
      </c>
      <c r="D26" s="70">
        <v>30</v>
      </c>
      <c r="E26" s="70">
        <v>260</v>
      </c>
      <c r="F26" s="70">
        <f>(MechElec[[#This Row],[Level of Effort (Minutes) ]]*MechElec[[#This Row],[Frequency (Days in a Year)]])/60</f>
        <v>130</v>
      </c>
      <c r="G26" s="84">
        <f>MechElec[[#This Row],[Effective Annual Hours]]/260</f>
        <v>0.5</v>
      </c>
      <c r="H26" s="150">
        <f>IFERROR(MechElec[[#This Row],[Effective Annual Hours]]/MechElec[[#Totals],[Effective Annual Hours]],0)</f>
        <v>6.25E-2</v>
      </c>
      <c r="I26" s="67" t="s">
        <v>77</v>
      </c>
      <c r="J26" s="67">
        <v>15</v>
      </c>
      <c r="K26" s="67">
        <v>260</v>
      </c>
      <c r="L26" s="67">
        <f>(MechElec[[#This Row],[1a: Level of Effort (Minutes)]]*MechElec[[#This Row],[1a: Frequency (Days in a Year)]])/60</f>
        <v>65</v>
      </c>
      <c r="M26" s="150">
        <f>IFERROR((MechElec[[#This Row],[1a: Effective Annual Hours]]-MechElec[[#This Row],[Effective Annual Hours]])/MechElec[[#This Row],[Effective Annual Hours]],0)</f>
        <v>-0.5</v>
      </c>
    </row>
    <row r="27" spans="1:16" ht="43.15">
      <c r="A27" s="149" t="s">
        <v>123</v>
      </c>
      <c r="B27" s="153" t="s">
        <v>124</v>
      </c>
      <c r="C27" s="153" t="s">
        <v>125</v>
      </c>
      <c r="D27" s="70">
        <v>30</v>
      </c>
      <c r="E27" s="70">
        <v>260</v>
      </c>
      <c r="F27" s="70">
        <f>(MechElec[[#This Row],[Level of Effort (Minutes) ]]*MechElec[[#This Row],[Frequency (Days in a Year)]])/60</f>
        <v>130</v>
      </c>
      <c r="G27" s="84">
        <f>MechElec[[#This Row],[Effective Annual Hours]]/260</f>
        <v>0.5</v>
      </c>
      <c r="H27" s="150">
        <f>IFERROR(MechElec[[#This Row],[Effective Annual Hours]]/MechElec[[#Totals],[Effective Annual Hours]],0)</f>
        <v>6.25E-2</v>
      </c>
      <c r="I27" s="67" t="s">
        <v>77</v>
      </c>
      <c r="J27" s="67">
        <v>0</v>
      </c>
      <c r="K27" s="67">
        <v>260</v>
      </c>
      <c r="L27" s="67">
        <f>(MechElec[[#This Row],[1a: Level of Effort (Minutes)]]*MechElec[[#This Row],[1a: Frequency (Days in a Year)]])/60</f>
        <v>0</v>
      </c>
      <c r="M27" s="150">
        <f>IFERROR((MechElec[[#This Row],[1a: Effective Annual Hours]]-MechElec[[#This Row],[Effective Annual Hours]])/MechElec[[#This Row],[Effective Annual Hours]],0)</f>
        <v>-1</v>
      </c>
    </row>
    <row r="28" spans="1:16">
      <c r="A28" s="149" t="s">
        <v>126</v>
      </c>
      <c r="B28" s="39" t="s">
        <v>113</v>
      </c>
      <c r="C28" s="39" t="s">
        <v>114</v>
      </c>
      <c r="D28" s="70">
        <v>30</v>
      </c>
      <c r="E28" s="70">
        <v>260</v>
      </c>
      <c r="F28" s="70">
        <f>(MechElec[[#This Row],[Level of Effort (Minutes) ]]*MechElec[[#This Row],[Frequency (Days in a Year)]])/60</f>
        <v>130</v>
      </c>
      <c r="G28" s="84">
        <f>MechElec[[#This Row],[Effective Annual Hours]]/260</f>
        <v>0.5</v>
      </c>
      <c r="H28" s="150">
        <f>IFERROR(MechElec[[#This Row],[Effective Annual Hours]]/MechElec[[#Totals],[Effective Annual Hours]],0)</f>
        <v>6.25E-2</v>
      </c>
      <c r="I28" s="67">
        <v>0</v>
      </c>
      <c r="J28" s="67">
        <v>30</v>
      </c>
      <c r="K28" s="67">
        <v>260</v>
      </c>
      <c r="L28" s="67">
        <f>(MechElec[[#This Row],[1a: Level of Effort (Minutes)]]*MechElec[[#This Row],[1a: Frequency (Days in a Year)]])/60</f>
        <v>130</v>
      </c>
      <c r="M28" s="150">
        <f>IFERROR((MechElec[[#This Row],[1a: Effective Annual Hours]]-MechElec[[#This Row],[Effective Annual Hours]])/MechElec[[#This Row],[Effective Annual Hours]],0)</f>
        <v>0</v>
      </c>
    </row>
    <row r="29" spans="1:16">
      <c r="A29" s="15" t="s">
        <v>39</v>
      </c>
      <c r="D29" s="10">
        <f>SUBTOTAL(109,MechElec[Level of Effort (Minutes) ])</f>
        <v>480</v>
      </c>
      <c r="E29" s="10"/>
      <c r="F29" s="10">
        <f>SUBTOTAL(109,MechElec[Effective Annual Hours])</f>
        <v>2080</v>
      </c>
      <c r="G29" s="98">
        <f>SUBTOTAL(109,MechElec[Effective Daily Hours])</f>
        <v>8</v>
      </c>
      <c r="H29" s="14">
        <f>SUBTOTAL(109,MechElec[% of Annual Hours])</f>
        <v>1</v>
      </c>
      <c r="J29">
        <f>SUBTOTAL(109,MechElec[1a: Level of Effort (Minutes)])</f>
        <v>529</v>
      </c>
      <c r="L29">
        <f>SUBTOTAL(109,MechElec[1a: Effective Annual Hours])</f>
        <v>2292.333333333333</v>
      </c>
      <c r="M29" s="151">
        <f>IFERROR((MechElec[[#Totals],[1a: Effective Annual Hours]]-MechElec[[#Totals],[Effective Annual Hours]])/MechElec[[#Totals],[Effective Annual Hours]],0)</f>
        <v>0.10208333333333319</v>
      </c>
    </row>
    <row r="31" spans="1:16" ht="18">
      <c r="A31" s="3" t="s">
        <v>127</v>
      </c>
      <c r="J31" s="157" t="s">
        <v>54</v>
      </c>
      <c r="K31" s="157"/>
      <c r="L31" s="157"/>
      <c r="M31" s="157"/>
    </row>
    <row r="32" spans="1:16" ht="57.6">
      <c r="A32" s="72" t="s">
        <v>55</v>
      </c>
      <c r="B32" s="72" t="s">
        <v>56</v>
      </c>
      <c r="C32" s="72" t="s">
        <v>57</v>
      </c>
      <c r="D32" s="73" t="s">
        <v>58</v>
      </c>
      <c r="E32" s="73" t="s">
        <v>59</v>
      </c>
      <c r="F32" s="73" t="s">
        <v>60</v>
      </c>
      <c r="G32" s="74" t="s">
        <v>61</v>
      </c>
      <c r="H32" s="74" t="s">
        <v>62</v>
      </c>
      <c r="I32" s="74" t="s">
        <v>63</v>
      </c>
      <c r="J32" s="107" t="s">
        <v>64</v>
      </c>
      <c r="K32" s="107" t="s">
        <v>65</v>
      </c>
      <c r="L32" s="107" t="s">
        <v>66</v>
      </c>
      <c r="M32" s="107" t="s">
        <v>67</v>
      </c>
    </row>
    <row r="33" spans="1:15">
      <c r="A33" s="49" t="s">
        <v>128</v>
      </c>
      <c r="B33" s="42" t="s">
        <v>129</v>
      </c>
      <c r="C33" s="62" t="s">
        <v>130</v>
      </c>
      <c r="D33" s="69">
        <v>60</v>
      </c>
      <c r="E33" s="69">
        <v>260</v>
      </c>
      <c r="F33" s="61">
        <f>(ServiceWriterDay[[#This Row],[Level of Effort (Minutes) ]]*ServiceWriterDay[[#This Row],[Frequency (Days in a Year)]])/60</f>
        <v>260</v>
      </c>
      <c r="G33" s="61">
        <f>ServiceWriterDay[[#This Row],[Effective Annual Hours]]/260</f>
        <v>1</v>
      </c>
      <c r="H33" s="68">
        <f>ServiceWriterDay[[#This Row],[Effective Annual Hours]]/ServiceWriterDay[[#Totals],[Effective Annual Hours]]</f>
        <v>0.12500016025661573</v>
      </c>
      <c r="I33" s="66" t="s">
        <v>77</v>
      </c>
      <c r="J33" s="66">
        <v>0</v>
      </c>
      <c r="K33" s="66">
        <v>0</v>
      </c>
      <c r="L33" s="61">
        <f>(ServiceWriterDay[[#This Row],[1a: Level of Effort (Minutes)]]*ServiceWriterDay[[#This Row],[1a: Frequency (Days in a Year)]])/60</f>
        <v>0</v>
      </c>
      <c r="M33" s="65">
        <f>IFERROR((ServiceWriterDay[[#This Row],[1a: Effective Annual Hours]]-ServiceWriterDay[[#This Row],[Effective Annual Hours]])/ServiceWriterDay[[#This Row],[Effective Annual Hours]],0)</f>
        <v>-1</v>
      </c>
    </row>
    <row r="34" spans="1:15" s="58" customFormat="1" ht="28.9">
      <c r="A34" s="49" t="s">
        <v>131</v>
      </c>
      <c r="B34" s="62" t="s">
        <v>132</v>
      </c>
      <c r="C34" s="62" t="s">
        <v>133</v>
      </c>
      <c r="D34" s="70">
        <v>30</v>
      </c>
      <c r="E34" s="70">
        <v>260</v>
      </c>
      <c r="F34" s="61">
        <f>(ServiceWriterDay[[#This Row],[Level of Effort (Minutes) ]]*ServiceWriterDay[[#This Row],[Frequency (Days in a Year)]])/60</f>
        <v>130</v>
      </c>
      <c r="G34" s="61">
        <f>ServiceWriterDay[[#This Row],[Effective Annual Hours]]/260</f>
        <v>0.5</v>
      </c>
      <c r="H34" s="68">
        <f>ServiceWriterDay[[#This Row],[Effective Annual Hours]]/ServiceWriterDay[[#Totals],[Effective Annual Hours]]</f>
        <v>6.2500080128307864E-2</v>
      </c>
      <c r="I34" s="67" t="s">
        <v>77</v>
      </c>
      <c r="J34" s="67">
        <v>0</v>
      </c>
      <c r="K34" s="67">
        <v>0</v>
      </c>
      <c r="L34" s="79">
        <f>(ServiceWriterDay[[#This Row],[1a: Level of Effort (Minutes)]]*ServiceWriterDay[[#This Row],[1a: Frequency (Days in a Year)]])/60</f>
        <v>0</v>
      </c>
      <c r="M34" s="65">
        <f>IFERROR((ServiceWriterDay[[#This Row],[1a: Effective Annual Hours]]-ServiceWriterDay[[#This Row],[Effective Annual Hours]])/ServiceWriterDay[[#This Row],[Effective Annual Hours]],0)</f>
        <v>-1</v>
      </c>
      <c r="N34"/>
      <c r="O34"/>
    </row>
    <row r="35" spans="1:15" s="58" customFormat="1" ht="115.15">
      <c r="A35" s="49" t="s">
        <v>134</v>
      </c>
      <c r="B35" s="42" t="s">
        <v>135</v>
      </c>
      <c r="C35" s="42" t="s">
        <v>136</v>
      </c>
      <c r="D35" s="69">
        <v>60</v>
      </c>
      <c r="E35" s="69">
        <v>260</v>
      </c>
      <c r="F35" s="61">
        <f>(ServiceWriterDay[[#This Row],[Level of Effort (Minutes) ]]*ServiceWriterDay[[#This Row],[Frequency (Days in a Year)]])/60</f>
        <v>260</v>
      </c>
      <c r="G35" s="61">
        <f>ServiceWriterDay[[#This Row],[Effective Annual Hours]]/260</f>
        <v>1</v>
      </c>
      <c r="H35" s="68">
        <f>ServiceWriterDay[[#This Row],[Effective Annual Hours]]/ServiceWriterDay[[#Totals],[Effective Annual Hours]]</f>
        <v>0.12500016025661573</v>
      </c>
      <c r="I35" s="66" t="s">
        <v>77</v>
      </c>
      <c r="J35" s="66">
        <v>30</v>
      </c>
      <c r="K35" s="66">
        <v>260</v>
      </c>
      <c r="L35" s="80">
        <f>(ServiceWriterDay[[#This Row],[1a: Level of Effort (Minutes)]]*ServiceWriterDay[[#This Row],[1a: Frequency (Days in a Year)]])/60</f>
        <v>130</v>
      </c>
      <c r="M35" s="65">
        <f>IFERROR((ServiceWriterDay[[#This Row],[1a: Effective Annual Hours]]-ServiceWriterDay[[#This Row],[Effective Annual Hours]])/ServiceWriterDay[[#This Row],[Effective Annual Hours]],0)</f>
        <v>-0.5</v>
      </c>
      <c r="N35"/>
      <c r="O35"/>
    </row>
    <row r="36" spans="1:15" s="58" customFormat="1" ht="93" customHeight="1">
      <c r="A36" s="49" t="s">
        <v>137</v>
      </c>
      <c r="B36" s="45" t="s">
        <v>138</v>
      </c>
      <c r="C36" s="46" t="s">
        <v>139</v>
      </c>
      <c r="D36" s="69">
        <v>60</v>
      </c>
      <c r="E36" s="69">
        <v>20</v>
      </c>
      <c r="F36" s="61">
        <f>(ServiceWriterDay[[#This Row],[Level of Effort (Minutes) ]]*ServiceWriterDay[[#This Row],[Frequency (Days in a Year)]])/60</f>
        <v>20</v>
      </c>
      <c r="G36" s="61">
        <f>ServiceWriterDay[[#This Row],[Effective Annual Hours]]/260</f>
        <v>7.6923076923076927E-2</v>
      </c>
      <c r="H36" s="68">
        <f>ServiceWriterDay[[#This Row],[Effective Annual Hours]]/ServiceWriterDay[[#Totals],[Effective Annual Hours]]</f>
        <v>9.6153969428165939E-3</v>
      </c>
      <c r="I36" s="66" t="s">
        <v>77</v>
      </c>
      <c r="J36" s="66">
        <v>0</v>
      </c>
      <c r="K36" s="66">
        <v>0</v>
      </c>
      <c r="L36" s="80">
        <f>(ServiceWriterDay[[#This Row],[1a: Level of Effort (Minutes)]]*ServiceWriterDay[[#This Row],[1a: Frequency (Days in a Year)]])/60</f>
        <v>0</v>
      </c>
      <c r="M36" s="65">
        <f>IFERROR((ServiceWriterDay[[#This Row],[1a: Effective Annual Hours]]-ServiceWriterDay[[#This Row],[Effective Annual Hours]])/ServiceWriterDay[[#This Row],[Effective Annual Hours]],0)</f>
        <v>-1</v>
      </c>
      <c r="N36"/>
      <c r="O36"/>
    </row>
    <row r="37" spans="1:15" s="58" customFormat="1" ht="115.15">
      <c r="A37" s="49" t="s">
        <v>140</v>
      </c>
      <c r="B37" s="86" t="s">
        <v>141</v>
      </c>
      <c r="C37" s="47" t="s">
        <v>142</v>
      </c>
      <c r="D37" s="69">
        <v>60</v>
      </c>
      <c r="E37" s="69">
        <v>260</v>
      </c>
      <c r="F37" s="61">
        <f>(ServiceWriterDay[[#This Row],[Level of Effort (Minutes) ]]*ServiceWriterDay[[#This Row],[Frequency (Days in a Year)]])/60</f>
        <v>260</v>
      </c>
      <c r="G37" s="61">
        <f>ServiceWriterDay[[#This Row],[Effective Annual Hours]]/260</f>
        <v>1</v>
      </c>
      <c r="H37" s="68">
        <f>ServiceWriterDay[[#This Row],[Effective Annual Hours]]/ServiceWriterDay[[#Totals],[Effective Annual Hours]]</f>
        <v>0.12500016025661573</v>
      </c>
      <c r="I37" s="66">
        <v>0</v>
      </c>
      <c r="J37" s="66">
        <v>0</v>
      </c>
      <c r="K37" s="66">
        <v>260</v>
      </c>
      <c r="L37" s="80">
        <f>(ServiceWriterDay[[#This Row],[1a: Level of Effort (Minutes)]]*ServiceWriterDay[[#This Row],[1a: Frequency (Days in a Year)]])/60</f>
        <v>0</v>
      </c>
      <c r="M37" s="65">
        <f>IFERROR((ServiceWriterDay[[#This Row],[1a: Effective Annual Hours]]-ServiceWriterDay[[#This Row],[Effective Annual Hours]])/ServiceWriterDay[[#This Row],[Effective Annual Hours]],0)</f>
        <v>-1</v>
      </c>
      <c r="N37"/>
      <c r="O37"/>
    </row>
    <row r="38" spans="1:15" s="60" customFormat="1" ht="43.15">
      <c r="A38" s="49" t="s">
        <v>143</v>
      </c>
      <c r="B38" s="87" t="s">
        <v>144</v>
      </c>
      <c r="C38" s="83" t="s">
        <v>145</v>
      </c>
      <c r="D38" s="70">
        <v>60</v>
      </c>
      <c r="E38" s="70">
        <f>2*52</f>
        <v>104</v>
      </c>
      <c r="F38" s="84">
        <f>(ServiceWriterDay[[#This Row],[Level of Effort (Minutes) ]]*ServiceWriterDay[[#This Row],[Frequency (Days in a Year)]])/60</f>
        <v>104</v>
      </c>
      <c r="G38" s="84">
        <f>ServiceWriterDay[[#This Row],[Effective Annual Hours]]/260</f>
        <v>0.4</v>
      </c>
      <c r="H38" s="85">
        <f>ServiceWriterDay[[#This Row],[Effective Annual Hours]]/ServiceWriterDay[[#Totals],[Effective Annual Hours]]</f>
        <v>5.0000064102646284E-2</v>
      </c>
      <c r="I38" s="67" t="s">
        <v>77</v>
      </c>
      <c r="J38" s="67">
        <v>0</v>
      </c>
      <c r="K38" s="67">
        <v>104</v>
      </c>
      <c r="L38" s="79">
        <f>(ServiceWriterDay[[#This Row],[1a: Level of Effort (Minutes)]]*ServiceWriterDay[[#This Row],[1a: Frequency (Days in a Year)]])/60</f>
        <v>0</v>
      </c>
      <c r="M38" s="65">
        <f>IFERROR((ServiceWriterDay[[#This Row],[1a: Effective Annual Hours]]-ServiceWriterDay[[#This Row],[Effective Annual Hours]])/ServiceWriterDay[[#This Row],[Effective Annual Hours]],0)</f>
        <v>-1</v>
      </c>
      <c r="N38"/>
      <c r="O38"/>
    </row>
    <row r="39" spans="1:15" s="60" customFormat="1" ht="129.6">
      <c r="A39" s="49" t="s">
        <v>146</v>
      </c>
      <c r="B39" s="88" t="s">
        <v>147</v>
      </c>
      <c r="C39" s="82" t="s">
        <v>148</v>
      </c>
      <c r="D39" s="69">
        <v>120</v>
      </c>
      <c r="E39" s="69">
        <v>260</v>
      </c>
      <c r="F39" s="61">
        <f>(ServiceWriterDay[[#This Row],[Level of Effort (Minutes) ]]*ServiceWriterDay[[#This Row],[Frequency (Days in a Year)]])/60</f>
        <v>520</v>
      </c>
      <c r="G39" s="61">
        <f>ServiceWriterDay[[#This Row],[Effective Annual Hours]]/260</f>
        <v>2</v>
      </c>
      <c r="H39" s="68">
        <f>ServiceWriterDay[[#This Row],[Effective Annual Hours]]/ServiceWriterDay[[#Totals],[Effective Annual Hours]]</f>
        <v>0.25000032051323146</v>
      </c>
      <c r="I39" s="66">
        <v>0</v>
      </c>
      <c r="J39" s="66">
        <v>120</v>
      </c>
      <c r="K39" s="66">
        <v>260</v>
      </c>
      <c r="L39" s="80">
        <f>(ServiceWriterDay[[#This Row],[1a: Level of Effort (Minutes)]]*ServiceWriterDay[[#This Row],[1a: Frequency (Days in a Year)]])/60</f>
        <v>520</v>
      </c>
      <c r="M39" s="65">
        <f>IFERROR((ServiceWriterDay[[#This Row],[1a: Effective Annual Hours]]-ServiceWriterDay[[#This Row],[Effective Annual Hours]])/ServiceWriterDay[[#This Row],[Effective Annual Hours]],0)</f>
        <v>0</v>
      </c>
      <c r="N39"/>
      <c r="O39"/>
    </row>
    <row r="40" spans="1:15" s="60" customFormat="1" ht="49.9" customHeight="1">
      <c r="A40" s="49" t="s">
        <v>149</v>
      </c>
      <c r="B40" s="44" t="s">
        <v>150</v>
      </c>
      <c r="C40" s="89" t="s">
        <v>151</v>
      </c>
      <c r="D40" s="69">
        <v>121.384</v>
      </c>
      <c r="E40" s="69">
        <v>260</v>
      </c>
      <c r="F40" s="61">
        <f>(ServiceWriterDay[[#This Row],[Level of Effort (Minutes) ]]*ServiceWriterDay[[#This Row],[Frequency (Days in a Year)]])/60</f>
        <v>525.99733333333336</v>
      </c>
      <c r="G40" s="61">
        <f>ServiceWriterDay[[#This Row],[Effective Annual Hours]]/260</f>
        <v>2.0230666666666668</v>
      </c>
      <c r="H40" s="68">
        <f>ServiceWriterDay[[#This Row],[Effective Annual Hours]]/ServiceWriterDay[[#Totals],[Effective Annual Hours]]</f>
        <v>0.25288365754315073</v>
      </c>
      <c r="I40" s="66">
        <v>0</v>
      </c>
      <c r="J40" s="69">
        <v>121.384</v>
      </c>
      <c r="K40" s="66">
        <v>260</v>
      </c>
      <c r="L40" s="80">
        <f>(ServiceWriterDay[[#This Row],[1a: Level of Effort (Minutes)]]*ServiceWriterDay[[#This Row],[1a: Frequency (Days in a Year)]])/60</f>
        <v>525.99733333333336</v>
      </c>
      <c r="M40" s="65">
        <f>IFERROR((ServiceWriterDay[[#This Row],[1a: Effective Annual Hours]]-ServiceWriterDay[[#This Row],[Effective Annual Hours]])/ServiceWriterDay[[#This Row],[Effective Annual Hours]],0)</f>
        <v>0</v>
      </c>
      <c r="N40"/>
      <c r="O40"/>
    </row>
    <row r="41" spans="1:15" s="58" customFormat="1" ht="43.15">
      <c r="A41" t="s">
        <v>152</v>
      </c>
      <c r="B41" s="44" t="s">
        <v>153</v>
      </c>
      <c r="C41" s="10" t="s">
        <v>154</v>
      </c>
      <c r="D41" s="69">
        <v>0</v>
      </c>
      <c r="E41" s="69">
        <v>0</v>
      </c>
      <c r="F41" s="61">
        <f>(ServiceWriterDay[[#This Row],[Level of Effort (Minutes) ]]*ServiceWriterDay[[#This Row],[Frequency (Days in a Year)]])/60</f>
        <v>0</v>
      </c>
      <c r="G41" s="61">
        <f>ServiceWriterDay[[#This Row],[Effective Annual Hours]]/260</f>
        <v>0</v>
      </c>
      <c r="H41" s="68">
        <f>ServiceWriterDay[[#This Row],[Effective Annual Hours]]/ServiceWriterDay[[#Totals],[Effective Annual Hours]]</f>
        <v>0</v>
      </c>
      <c r="I41" s="66" t="s">
        <v>77</v>
      </c>
      <c r="J41" s="66">
        <f>2*NumDailyPullIns/2</f>
        <v>130</v>
      </c>
      <c r="K41" s="66">
        <v>260</v>
      </c>
      <c r="L41" s="80">
        <f>(ServiceWriterDay[[#This Row],[1a: Level of Effort (Minutes)]]*ServiceWriterDay[[#This Row],[1a: Frequency (Days in a Year)]])/60</f>
        <v>563.33333333333337</v>
      </c>
      <c r="M41" s="65">
        <f>IFERROR((ServiceWriterDay[[#This Row],[1a: Effective Annual Hours]]-ServiceWriterDay[[#This Row],[Effective Annual Hours]])/ServiceWriterDay[[#This Row],[Effective Annual Hours]],0)</f>
        <v>0</v>
      </c>
      <c r="N41"/>
      <c r="O41"/>
    </row>
    <row r="42" spans="1:15">
      <c r="A42" t="s">
        <v>39</v>
      </c>
      <c r="D42" s="77">
        <f>SUBTOTAL(109,ServiceWriterDay[Level of Effort (Minutes) ])</f>
        <v>571.38400000000001</v>
      </c>
      <c r="E42" s="77"/>
      <c r="F42" s="75">
        <f>SUBTOTAL(109,ServiceWriterDay[Effective Annual Hours])</f>
        <v>2079.9973333333332</v>
      </c>
      <c r="G42" s="75">
        <f>SUBTOTAL(109,ServiceWriterDay[Effective Daily Hours])</f>
        <v>7.9999897435897438</v>
      </c>
      <c r="H42" s="78"/>
      <c r="I42" s="78"/>
      <c r="J42" s="78">
        <f>SUBTOTAL(109,ServiceWriterDay[1a: Level of Effort (Minutes)])</f>
        <v>401.38400000000001</v>
      </c>
      <c r="K42" s="78"/>
      <c r="L42" s="78">
        <f>SUBTOTAL(109,ServiceWriterDay[1a: Effective Annual Hours])</f>
        <v>1739.3306666666667</v>
      </c>
      <c r="M42" s="81"/>
    </row>
    <row r="44" spans="1:15" ht="15" thickBot="1">
      <c r="F44" s="34"/>
    </row>
    <row r="45" spans="1:15" ht="18.600000000000001" thickBot="1">
      <c r="A45" s="3" t="s">
        <v>155</v>
      </c>
      <c r="J45" s="160" t="s">
        <v>54</v>
      </c>
      <c r="K45" s="161"/>
      <c r="L45" s="161"/>
      <c r="M45" s="162"/>
    </row>
    <row r="46" spans="1:15" ht="57.6">
      <c r="A46" s="72" t="s">
        <v>55</v>
      </c>
      <c r="B46" s="72" t="s">
        <v>56</v>
      </c>
      <c r="C46" s="72" t="s">
        <v>57</v>
      </c>
      <c r="D46" s="73" t="s">
        <v>58</v>
      </c>
      <c r="E46" s="73" t="s">
        <v>59</v>
      </c>
      <c r="F46" s="73" t="s">
        <v>60</v>
      </c>
      <c r="G46" s="74" t="s">
        <v>61</v>
      </c>
      <c r="H46" s="74" t="s">
        <v>62</v>
      </c>
      <c r="I46" s="74" t="s">
        <v>63</v>
      </c>
      <c r="J46" s="107" t="s">
        <v>64</v>
      </c>
      <c r="K46" s="107" t="s">
        <v>65</v>
      </c>
      <c r="L46" s="107" t="s">
        <v>66</v>
      </c>
      <c r="M46" s="107" t="s">
        <v>67</v>
      </c>
    </row>
    <row r="47" spans="1:15" ht="43.15">
      <c r="A47" s="42" t="s">
        <v>156</v>
      </c>
      <c r="B47" s="42" t="s">
        <v>129</v>
      </c>
      <c r="C47" s="62" t="s">
        <v>157</v>
      </c>
      <c r="D47" s="69">
        <v>120</v>
      </c>
      <c r="E47" s="69">
        <v>260</v>
      </c>
      <c r="F47" s="69">
        <f>(ServiceWriterNight[[#This Row],[Level of Effort (Minutes) ]]*ServiceWriterNight[[#This Row],[Frequency (Days in a Year)]])/60</f>
        <v>520</v>
      </c>
      <c r="G47" s="69">
        <f>ServiceWriterNight[[#This Row],[Effective Annual Hours]]/260</f>
        <v>2</v>
      </c>
      <c r="H47" s="65">
        <f>ServiceWriterNight[[#This Row],[Effective Annual Hours]]/ServiceWriterNight[[#Totals],[Effective Annual Hours]]</f>
        <v>0.25</v>
      </c>
      <c r="I47" s="66" t="s">
        <v>77</v>
      </c>
      <c r="J47" s="66">
        <v>0</v>
      </c>
      <c r="K47" s="66">
        <v>0</v>
      </c>
      <c r="L47" s="94">
        <f>(ServiceWriterNight[[#This Row],[1a: Level of Effort (Minutes)]]*ServiceWriterNight[[#This Row],[1a: Frequency (Days in a Year)]])/60</f>
        <v>0</v>
      </c>
      <c r="M47" s="65">
        <f>IFERROR((ServiceWriterNight[[#This Row],[1a: Effective Annual Hours]]-ServiceWriterNight[[#This Row],[Effective Annual Hours]])/ServiceWriterNight[[#This Row],[Effective Annual Hours]],0)</f>
        <v>-1</v>
      </c>
    </row>
    <row r="48" spans="1:15" ht="28.9">
      <c r="A48" s="42" t="s">
        <v>158</v>
      </c>
      <c r="B48" s="62" t="s">
        <v>132</v>
      </c>
      <c r="C48" s="62" t="s">
        <v>133</v>
      </c>
      <c r="D48" s="69">
        <v>60</v>
      </c>
      <c r="E48" s="69">
        <v>260</v>
      </c>
      <c r="F48" s="69">
        <f>(ServiceWriterNight[[#This Row],[Level of Effort (Minutes) ]]*ServiceWriterNight[[#This Row],[Frequency (Days in a Year)]])/60</f>
        <v>260</v>
      </c>
      <c r="G48" s="69">
        <f>ServiceWriterNight[[#This Row],[Effective Annual Hours]]/260</f>
        <v>1</v>
      </c>
      <c r="H48" s="65">
        <f>ServiceWriterNight[[#This Row],[Effective Annual Hours]]/ServiceWriterNight[[#Totals],[Effective Annual Hours]]</f>
        <v>0.125</v>
      </c>
      <c r="I48" s="66" t="s">
        <v>77</v>
      </c>
      <c r="J48" s="66">
        <v>0</v>
      </c>
      <c r="K48" s="66">
        <v>0</v>
      </c>
      <c r="L48" s="94">
        <f>(ServiceWriterNight[[#This Row],[1a: Level of Effort (Minutes)]]*ServiceWriterNight[[#This Row],[1a: Frequency (Days in a Year)]])/60</f>
        <v>0</v>
      </c>
      <c r="M48" s="65">
        <f>IFERROR((ServiceWriterNight[[#This Row],[1a: Effective Annual Hours]]-ServiceWriterNight[[#This Row],[Effective Annual Hours]])/ServiceWriterNight[[#This Row],[Effective Annual Hours]],0)</f>
        <v>-1</v>
      </c>
    </row>
    <row r="49" spans="1:18" s="50" customFormat="1">
      <c r="A49" s="42" t="s">
        <v>159</v>
      </c>
      <c r="B49" s="62" t="s">
        <v>160</v>
      </c>
      <c r="C49" s="62" t="s">
        <v>161</v>
      </c>
      <c r="D49" s="69">
        <v>30</v>
      </c>
      <c r="E49" s="69">
        <v>260</v>
      </c>
      <c r="F49" s="69">
        <f>(ServiceWriterNight[[#This Row],[Level of Effort (Minutes) ]]*ServiceWriterNight[[#This Row],[Frequency (Days in a Year)]])/60</f>
        <v>130</v>
      </c>
      <c r="G49" s="69">
        <f>ServiceWriterNight[[#This Row],[Effective Annual Hours]]/260</f>
        <v>0.5</v>
      </c>
      <c r="H49" s="65">
        <f>ServiceWriterNight[[#This Row],[Effective Annual Hours]]/ServiceWriterNight[[#Totals],[Effective Annual Hours]]</f>
        <v>6.25E-2</v>
      </c>
      <c r="I49" s="66" t="s">
        <v>77</v>
      </c>
      <c r="J49" s="66">
        <v>0</v>
      </c>
      <c r="K49" s="66">
        <v>0</v>
      </c>
      <c r="L49" s="94">
        <f>(ServiceWriterNight[[#This Row],[1a: Level of Effort (Minutes)]]*ServiceWriterNight[[#This Row],[1a: Frequency (Days in a Year)]])/60</f>
        <v>0</v>
      </c>
      <c r="M49" s="65">
        <f>IFERROR((ServiceWriterNight[[#This Row],[1a: Effective Annual Hours]]-ServiceWriterNight[[#This Row],[Effective Annual Hours]])/ServiceWriterNight[[#This Row],[Effective Annual Hours]],0)</f>
        <v>-1</v>
      </c>
      <c r="N49"/>
      <c r="O49"/>
    </row>
    <row r="50" spans="1:18" s="51" customFormat="1" ht="115.15">
      <c r="A50" s="42" t="s">
        <v>162</v>
      </c>
      <c r="B50" s="42" t="s">
        <v>135</v>
      </c>
      <c r="C50" s="42" t="s">
        <v>136</v>
      </c>
      <c r="D50" s="70">
        <v>120</v>
      </c>
      <c r="E50" s="70">
        <v>260</v>
      </c>
      <c r="F50" s="70">
        <f>(ServiceWriterNight[[#This Row],[Level of Effort (Minutes) ]]*ServiceWriterNight[[#This Row],[Frequency (Days in a Year)]])/60</f>
        <v>520</v>
      </c>
      <c r="G50" s="69">
        <f>ServiceWriterNight[[#This Row],[Effective Annual Hours]]/260</f>
        <v>2</v>
      </c>
      <c r="H50" s="65">
        <f>ServiceWriterNight[[#This Row],[Effective Annual Hours]]/ServiceWriterNight[[#Totals],[Effective Annual Hours]]</f>
        <v>0.25</v>
      </c>
      <c r="I50" s="67" t="s">
        <v>77</v>
      </c>
      <c r="J50" s="67">
        <v>60</v>
      </c>
      <c r="K50" s="67">
        <v>260</v>
      </c>
      <c r="L50" s="95">
        <f>(ServiceWriterNight[[#This Row],[1a: Level of Effort (Minutes)]]*ServiceWriterNight[[#This Row],[1a: Frequency (Days in a Year)]])/60</f>
        <v>260</v>
      </c>
      <c r="M50" s="65">
        <f>IFERROR((ServiceWriterNight[[#This Row],[1a: Effective Annual Hours]]-ServiceWriterNight[[#This Row],[Effective Annual Hours]])/ServiceWriterNight[[#This Row],[Effective Annual Hours]],0)</f>
        <v>-0.5</v>
      </c>
      <c r="N50"/>
      <c r="O50"/>
    </row>
    <row r="51" spans="1:18" s="50" customFormat="1" ht="57.6">
      <c r="A51" s="42" t="s">
        <v>163</v>
      </c>
      <c r="B51" s="45" t="s">
        <v>164</v>
      </c>
      <c r="C51" s="46" t="s">
        <v>165</v>
      </c>
      <c r="D51" s="69">
        <v>60</v>
      </c>
      <c r="E51" s="69">
        <v>20</v>
      </c>
      <c r="F51" s="69">
        <f>(ServiceWriterNight[[#This Row],[Level of Effort (Minutes) ]]*ServiceWriterNight[[#This Row],[Frequency (Days in a Year)]])/60</f>
        <v>20</v>
      </c>
      <c r="G51" s="69">
        <f>ServiceWriterNight[[#This Row],[Effective Annual Hours]]/260</f>
        <v>7.6923076923076927E-2</v>
      </c>
      <c r="H51" s="65">
        <f>ServiceWriterNight[[#This Row],[Effective Annual Hours]]/ServiceWriterNight[[#Totals],[Effective Annual Hours]]</f>
        <v>9.6153846153846159E-3</v>
      </c>
      <c r="I51" s="66" t="s">
        <v>77</v>
      </c>
      <c r="J51" s="66">
        <v>0</v>
      </c>
      <c r="K51" s="66">
        <v>0</v>
      </c>
      <c r="L51" s="94">
        <f>(ServiceWriterNight[[#This Row],[1a: Level of Effort (Minutes)]]*ServiceWriterNight[[#This Row],[1a: Frequency (Days in a Year)]])/60</f>
        <v>0</v>
      </c>
      <c r="M51" s="65">
        <f>IFERROR((ServiceWriterNight[[#This Row],[1a: Effective Annual Hours]]-ServiceWriterNight[[#This Row],[Effective Annual Hours]])/ServiceWriterNight[[#This Row],[Effective Annual Hours]],0)</f>
        <v>-1</v>
      </c>
      <c r="N51"/>
      <c r="O51"/>
      <c r="R51" s="43"/>
    </row>
    <row r="52" spans="1:18" ht="115.15">
      <c r="A52" s="42" t="s">
        <v>166</v>
      </c>
      <c r="B52" s="86" t="s">
        <v>141</v>
      </c>
      <c r="C52" s="47" t="s">
        <v>167</v>
      </c>
      <c r="D52" s="69">
        <v>60</v>
      </c>
      <c r="E52" s="69">
        <v>260</v>
      </c>
      <c r="F52" s="69">
        <f>(ServiceWriterNight[[#This Row],[Level of Effort (Minutes) ]]*ServiceWriterNight[[#This Row],[Frequency (Days in a Year)]])/60</f>
        <v>260</v>
      </c>
      <c r="G52" s="69">
        <f>ServiceWriterNight[[#This Row],[Effective Annual Hours]]/260</f>
        <v>1</v>
      </c>
      <c r="H52" s="65">
        <f>ServiceWriterNight[[#This Row],[Effective Annual Hours]]/ServiceWriterNight[[#Totals],[Effective Annual Hours]]</f>
        <v>0.125</v>
      </c>
      <c r="I52" s="66">
        <v>0</v>
      </c>
      <c r="J52" s="66">
        <v>0</v>
      </c>
      <c r="K52" s="66">
        <v>260</v>
      </c>
      <c r="L52" s="94">
        <f>(ServiceWriterNight[[#This Row],[1a: Level of Effort (Minutes)]]*ServiceWriterNight[[#This Row],[1a: Frequency (Days in a Year)]])/60</f>
        <v>0</v>
      </c>
      <c r="M52" s="65">
        <f>IFERROR((ServiceWriterNight[[#This Row],[1a: Effective Annual Hours]]-ServiceWriterNight[[#This Row],[Effective Annual Hours]])/ServiceWriterNight[[#This Row],[Effective Annual Hours]],0)</f>
        <v>-1</v>
      </c>
    </row>
    <row r="53" spans="1:18" ht="43.15">
      <c r="A53" s="42" t="s">
        <v>168</v>
      </c>
      <c r="B53" s="87" t="s">
        <v>144</v>
      </c>
      <c r="C53" s="83" t="s">
        <v>145</v>
      </c>
      <c r="D53" s="69">
        <v>60</v>
      </c>
      <c r="E53" s="69">
        <f>52*2</f>
        <v>104</v>
      </c>
      <c r="F53" s="69">
        <f>(ServiceWriterNight[[#This Row],[Level of Effort (Minutes) ]]*ServiceWriterNight[[#This Row],[Frequency (Days in a Year)]])/60</f>
        <v>104</v>
      </c>
      <c r="G53" s="69">
        <f>ServiceWriterNight[[#This Row],[Effective Annual Hours]]/260</f>
        <v>0.4</v>
      </c>
      <c r="H53" s="65">
        <f>ServiceWriterNight[[#This Row],[Effective Annual Hours]]/ServiceWriterNight[[#Totals],[Effective Annual Hours]]</f>
        <v>0.05</v>
      </c>
      <c r="I53" s="66" t="s">
        <v>77</v>
      </c>
      <c r="J53" s="66">
        <v>0</v>
      </c>
      <c r="K53" s="66">
        <f>52*2</f>
        <v>104</v>
      </c>
      <c r="L53" s="94">
        <f>(ServiceWriterNight[[#This Row],[1a: Level of Effort (Minutes)]]*ServiceWriterNight[[#This Row],[1a: Frequency (Days in a Year)]])/60</f>
        <v>0</v>
      </c>
      <c r="M53" s="65">
        <f>IFERROR((ServiceWriterNight[[#This Row],[1a: Effective Annual Hours]]-ServiceWriterNight[[#This Row],[Effective Annual Hours]])/ServiceWriterNight[[#This Row],[Effective Annual Hours]],0)</f>
        <v>-1</v>
      </c>
    </row>
    <row r="54" spans="1:18" s="58" customFormat="1" ht="125.25" customHeight="1">
      <c r="A54" s="42" t="s">
        <v>169</v>
      </c>
      <c r="B54" s="88" t="s">
        <v>147</v>
      </c>
      <c r="C54" s="82" t="s">
        <v>170</v>
      </c>
      <c r="D54" s="92">
        <v>60</v>
      </c>
      <c r="E54" s="92">
        <v>260</v>
      </c>
      <c r="F54" s="92">
        <f>(ServiceWriterNight[[#This Row],[Level of Effort (Minutes) ]]*ServiceWriterNight[[#This Row],[Frequency (Days in a Year)]])/60</f>
        <v>260</v>
      </c>
      <c r="G54" s="69">
        <f>ServiceWriterNight[[#This Row],[Effective Annual Hours]]/260</f>
        <v>1</v>
      </c>
      <c r="H54" s="65">
        <f>ServiceWriterNight[[#This Row],[Effective Annual Hours]]/ServiceWriterNight[[#Totals],[Effective Annual Hours]]</f>
        <v>0.125</v>
      </c>
      <c r="I54" s="93">
        <v>0</v>
      </c>
      <c r="J54" s="93">
        <v>60</v>
      </c>
      <c r="K54" s="93">
        <v>260</v>
      </c>
      <c r="L54" s="96">
        <f>(ServiceWriterNight[[#This Row],[1a: Level of Effort (Minutes)]]*ServiceWriterNight[[#This Row],[1a: Frequency (Days in a Year)]])/60</f>
        <v>260</v>
      </c>
      <c r="M54" s="65">
        <f>IFERROR((ServiceWriterNight[[#This Row],[1a: Effective Annual Hours]]-ServiceWriterNight[[#This Row],[Effective Annual Hours]])/ServiceWriterNight[[#This Row],[Effective Annual Hours]],0)</f>
        <v>0</v>
      </c>
      <c r="N54"/>
      <c r="O54"/>
    </row>
    <row r="55" spans="1:18" ht="44.45" customHeight="1">
      <c r="A55" s="42" t="s">
        <v>171</v>
      </c>
      <c r="B55" s="41" t="s">
        <v>150</v>
      </c>
      <c r="C55" s="91" t="s">
        <v>151</v>
      </c>
      <c r="D55" s="77">
        <v>60</v>
      </c>
      <c r="E55" s="77">
        <v>6</v>
      </c>
      <c r="F55" s="77">
        <f>(ServiceWriterNight[[#This Row],[Level of Effort (Minutes) ]]*ServiceWriterNight[[#This Row],[Frequency (Days in a Year)]])/60</f>
        <v>6</v>
      </c>
      <c r="G55" s="69">
        <f>ServiceWriterNight[[#This Row],[Effective Annual Hours]]/260</f>
        <v>2.3076923076923078E-2</v>
      </c>
      <c r="H55" s="65">
        <f>ServiceWriterNight[[#This Row],[Effective Annual Hours]]/ServiceWriterNight[[#Totals],[Effective Annual Hours]]</f>
        <v>2.8846153846153848E-3</v>
      </c>
      <c r="I55" s="78">
        <v>0</v>
      </c>
      <c r="J55" s="78">
        <v>60</v>
      </c>
      <c r="K55" s="78">
        <v>6</v>
      </c>
      <c r="L55" s="97">
        <f>(ServiceWriterNight[[#This Row],[1a: Level of Effort (Minutes)]]*ServiceWriterNight[[#This Row],[1a: Frequency (Days in a Year)]])/60</f>
        <v>6</v>
      </c>
      <c r="M55" s="65">
        <f>IFERROR((ServiceWriterNight[[#This Row],[1a: Effective Annual Hours]]-ServiceWriterNight[[#This Row],[Effective Annual Hours]])/ServiceWriterNight[[#This Row],[Effective Annual Hours]],0)</f>
        <v>0</v>
      </c>
    </row>
    <row r="56" spans="1:18">
      <c r="A56" t="s">
        <v>39</v>
      </c>
      <c r="D56" s="90"/>
      <c r="E56" s="90"/>
      <c r="F56" s="90">
        <f>SUBTOTAL(109,ServiceWriterNight[Effective Annual Hours])</f>
        <v>2080</v>
      </c>
      <c r="G56" s="10">
        <f>SUBTOTAL(109,ServiceWriterNight[Effective Daily Hours])</f>
        <v>8</v>
      </c>
      <c r="J56">
        <f>SUBTOTAL(109,ServiceWriterNight[1a: Level of Effort (Minutes)])</f>
        <v>180</v>
      </c>
      <c r="L56" s="12">
        <f>SUBTOTAL(109,ServiceWriterNight[1a: Effective Annual Hours])</f>
        <v>526</v>
      </c>
      <c r="M56" s="14"/>
    </row>
    <row r="59" spans="1:18" ht="18">
      <c r="A59" s="3" t="s">
        <v>172</v>
      </c>
      <c r="J59" s="157" t="s">
        <v>54</v>
      </c>
      <c r="K59" s="157"/>
      <c r="L59" s="157"/>
      <c r="M59" s="157"/>
    </row>
    <row r="60" spans="1:18" ht="57.6">
      <c r="A60" s="72" t="s">
        <v>55</v>
      </c>
      <c r="B60" s="72" t="s">
        <v>56</v>
      </c>
      <c r="C60" s="72" t="s">
        <v>57</v>
      </c>
      <c r="D60" s="73" t="s">
        <v>58</v>
      </c>
      <c r="E60" s="73" t="s">
        <v>59</v>
      </c>
      <c r="F60" s="73" t="s">
        <v>60</v>
      </c>
      <c r="G60" s="74" t="s">
        <v>61</v>
      </c>
      <c r="H60" s="74" t="s">
        <v>62</v>
      </c>
      <c r="I60" s="74" t="s">
        <v>63</v>
      </c>
      <c r="J60" s="107" t="s">
        <v>64</v>
      </c>
      <c r="K60" s="107" t="s">
        <v>65</v>
      </c>
      <c r="L60" s="107" t="s">
        <v>66</v>
      </c>
      <c r="M60" s="107" t="s">
        <v>67</v>
      </c>
    </row>
    <row r="61" spans="1:18" ht="28.9">
      <c r="A61" s="48" t="s">
        <v>173</v>
      </c>
      <c r="B61" s="46" t="s">
        <v>174</v>
      </c>
      <c r="C61" s="46" t="s">
        <v>175</v>
      </c>
      <c r="D61" s="103">
        <v>60</v>
      </c>
      <c r="E61" s="69">
        <v>260</v>
      </c>
      <c r="F61" s="61">
        <f>(ProbeShack[[#This Row],[Level of Effort (Minutes) ]]*ProbeShack[[#This Row],[Frequency (Days in a Year)]])/60</f>
        <v>260</v>
      </c>
      <c r="G61" s="61">
        <f>ProbeShack[[#This Row],[Effective Annual Hours]]/260</f>
        <v>1</v>
      </c>
      <c r="H61" s="65">
        <f>ProbeShack[[#This Row],[Effective Annual Hours]]/ProbeShack[[#Totals],[Effective Annual Hours]]</f>
        <v>0.12500006944448303</v>
      </c>
      <c r="I61" s="104">
        <v>0</v>
      </c>
      <c r="J61" s="103">
        <v>60</v>
      </c>
      <c r="K61" s="69">
        <v>260</v>
      </c>
      <c r="L61" s="104">
        <f>(ProbeShack[[#This Row],[1a: Level of Effort (Minutes)]]*ProbeShack[[#This Row],[1a: Frequency (Days in a Year)]])/60</f>
        <v>260</v>
      </c>
      <c r="M61" s="65">
        <f>IFERROR((ProbeShack[[#This Row],[1a: Effective Annual Hours]]-ProbeShack[[#This Row],[Effective Annual Hours]])/ProbeShack[[#This Row],[Effective Annual Hours]],0)</f>
        <v>0</v>
      </c>
    </row>
    <row r="62" spans="1:18" ht="57.6">
      <c r="A62" s="48" t="s">
        <v>176</v>
      </c>
      <c r="B62" s="39" t="s">
        <v>177</v>
      </c>
      <c r="C62" s="39" t="s">
        <v>178</v>
      </c>
      <c r="D62" s="105">
        <f>NumDailyPullIns*(20/60)</f>
        <v>43.333333333333329</v>
      </c>
      <c r="E62" s="69">
        <v>260</v>
      </c>
      <c r="F62" s="61">
        <f>(ProbeShack[[#This Row],[Level of Effort (Minutes) ]]*ProbeShack[[#This Row],[Frequency (Days in a Year)]])/60</f>
        <v>187.77777777777777</v>
      </c>
      <c r="G62" s="61">
        <f>ProbeShack[[#This Row],[Effective Annual Hours]]/260</f>
        <v>0.72222222222222221</v>
      </c>
      <c r="H62" s="65">
        <f>ProbeShack[[#This Row],[Effective Annual Hours]]/ProbeShack[[#Totals],[Effective Annual Hours]]</f>
        <v>9.0277827932126631E-2</v>
      </c>
      <c r="I62" s="104">
        <v>0</v>
      </c>
      <c r="J62" s="105">
        <f>NumDailyPullIns*(20/60)</f>
        <v>43.333333333333329</v>
      </c>
      <c r="K62" s="69">
        <v>260</v>
      </c>
      <c r="L62" s="104">
        <f>(ProbeShack[[#This Row],[1a: Level of Effort (Minutes)]]*ProbeShack[[#This Row],[1a: Frequency (Days in a Year)]])/60</f>
        <v>187.77777777777777</v>
      </c>
      <c r="M62" s="65">
        <f>IFERROR((ProbeShack[[#This Row],[1a: Effective Annual Hours]]-ProbeShack[[#This Row],[Effective Annual Hours]])/ProbeShack[[#This Row],[Effective Annual Hours]],0)</f>
        <v>0</v>
      </c>
    </row>
    <row r="63" spans="1:18" ht="28.9">
      <c r="A63" s="48" t="s">
        <v>179</v>
      </c>
      <c r="B63" s="39" t="s">
        <v>180</v>
      </c>
      <c r="C63" s="39" t="s">
        <v>181</v>
      </c>
      <c r="D63" s="105">
        <f>NumDailyPullIns*0.5</f>
        <v>65</v>
      </c>
      <c r="E63" s="69">
        <v>260</v>
      </c>
      <c r="F63" s="61">
        <f>(ProbeShack[[#This Row],[Level of Effort (Minutes) ]]*ProbeShack[[#This Row],[Frequency (Days in a Year)]])/60</f>
        <v>281.66666666666669</v>
      </c>
      <c r="G63" s="61">
        <f>ProbeShack[[#This Row],[Effective Annual Hours]]/260</f>
        <v>1.0833333333333335</v>
      </c>
      <c r="H63" s="65">
        <f>ProbeShack[[#This Row],[Effective Annual Hours]]/ProbeShack[[#Totals],[Effective Annual Hours]]</f>
        <v>0.13541674189818995</v>
      </c>
      <c r="I63" s="66">
        <v>0</v>
      </c>
      <c r="J63" s="105">
        <f>NumDailyPullIns*0.5</f>
        <v>65</v>
      </c>
      <c r="K63" s="69">
        <v>260</v>
      </c>
      <c r="L63" s="104">
        <f>(ProbeShack[[#This Row],[1a: Level of Effort (Minutes)]]*ProbeShack[[#This Row],[1a: Frequency (Days in a Year)]])/60</f>
        <v>281.66666666666669</v>
      </c>
      <c r="M63" s="65">
        <f>IFERROR((ProbeShack[[#This Row],[1a: Effective Annual Hours]]-ProbeShack[[#This Row],[Effective Annual Hours]])/ProbeShack[[#This Row],[Effective Annual Hours]],0)</f>
        <v>0</v>
      </c>
    </row>
    <row r="64" spans="1:18" s="51" customFormat="1" ht="28.9">
      <c r="A64" s="48" t="s">
        <v>182</v>
      </c>
      <c r="B64" s="39" t="s">
        <v>183</v>
      </c>
      <c r="C64" s="39" t="s">
        <v>184</v>
      </c>
      <c r="D64" s="105">
        <f>NumDailyPullIns*0.5</f>
        <v>65</v>
      </c>
      <c r="E64" s="69">
        <v>260</v>
      </c>
      <c r="F64" s="61">
        <f>(ProbeShack[[#This Row],[Level of Effort (Minutes) ]]*ProbeShack[[#This Row],[Frequency (Days in a Year)]])/60</f>
        <v>281.66666666666669</v>
      </c>
      <c r="G64" s="61">
        <f>ProbeShack[[#This Row],[Effective Annual Hours]]/260</f>
        <v>1.0833333333333335</v>
      </c>
      <c r="H64" s="65">
        <f>ProbeShack[[#This Row],[Effective Annual Hours]]/ProbeShack[[#Totals],[Effective Annual Hours]]</f>
        <v>0.13541674189818995</v>
      </c>
      <c r="I64" s="66">
        <v>0</v>
      </c>
      <c r="J64" s="105">
        <f>NumDailyPullIns*0.5</f>
        <v>65</v>
      </c>
      <c r="K64" s="69">
        <v>260</v>
      </c>
      <c r="L64" s="104">
        <f>(ProbeShack[[#This Row],[1a: Level of Effort (Minutes)]]*ProbeShack[[#This Row],[1a: Frequency (Days in a Year)]])/60</f>
        <v>281.66666666666669</v>
      </c>
      <c r="M64" s="65">
        <f>IFERROR((ProbeShack[[#This Row],[1a: Effective Annual Hours]]-ProbeShack[[#This Row],[Effective Annual Hours]])/ProbeShack[[#This Row],[Effective Annual Hours]],0)</f>
        <v>0</v>
      </c>
      <c r="N64"/>
      <c r="O64"/>
    </row>
    <row r="65" spans="1:13" ht="28.9">
      <c r="A65" s="48" t="s">
        <v>185</v>
      </c>
      <c r="B65" s="39" t="s">
        <v>186</v>
      </c>
      <c r="C65" s="39" t="s">
        <v>187</v>
      </c>
      <c r="D65" s="105">
        <f>NumDailyPullIns*1</f>
        <v>130</v>
      </c>
      <c r="E65" s="69">
        <v>260</v>
      </c>
      <c r="F65" s="61">
        <f>(ProbeShack[[#This Row],[Level of Effort (Minutes) ]]*ProbeShack[[#This Row],[Frequency (Days in a Year)]])/60</f>
        <v>563.33333333333337</v>
      </c>
      <c r="G65" s="61">
        <f>ProbeShack[[#This Row],[Effective Annual Hours]]/260</f>
        <v>2.166666666666667</v>
      </c>
      <c r="H65" s="65">
        <f>ProbeShack[[#This Row],[Effective Annual Hours]]/ProbeShack[[#Totals],[Effective Annual Hours]]</f>
        <v>0.27083348379637989</v>
      </c>
      <c r="I65" s="78">
        <v>0</v>
      </c>
      <c r="J65" s="105">
        <f>NumDailyPullIns*1</f>
        <v>130</v>
      </c>
      <c r="K65" s="69">
        <v>260</v>
      </c>
      <c r="L65" s="71">
        <f>(ProbeShack[[#This Row],[1a: Level of Effort (Minutes)]]*ProbeShack[[#This Row],[1a: Frequency (Days in a Year)]])/60</f>
        <v>563.33333333333337</v>
      </c>
      <c r="M65" s="101">
        <f>IFERROR((ProbeShack[[#This Row],[1a: Effective Annual Hours]]-ProbeShack[[#This Row],[Effective Annual Hours]])/ProbeShack[[#This Row],[Effective Annual Hours]],0)</f>
        <v>0</v>
      </c>
    </row>
    <row r="66" spans="1:13" ht="28.9">
      <c r="A66" s="48" t="s">
        <v>188</v>
      </c>
      <c r="B66" s="39" t="s">
        <v>189</v>
      </c>
      <c r="C66" s="39" t="s">
        <v>190</v>
      </c>
      <c r="D66" s="105">
        <f>1.94444*60</f>
        <v>116.6664</v>
      </c>
      <c r="E66" s="69">
        <v>260</v>
      </c>
      <c r="F66" s="61">
        <f>(ProbeShack[[#This Row],[Level of Effort (Minutes) ]]*ProbeShack[[#This Row],[Frequency (Days in a Year)]])/60</f>
        <v>505.55439999999999</v>
      </c>
      <c r="G66" s="61">
        <f>ProbeShack[[#This Row],[Effective Annual Hours]]/260</f>
        <v>1.9444399999999999</v>
      </c>
      <c r="H66" s="65">
        <f>ProbeShack[[#This Row],[Effective Annual Hours]]/ProbeShack[[#Totals],[Effective Annual Hours]]</f>
        <v>0.24305513503063059</v>
      </c>
      <c r="I66" s="78">
        <v>0</v>
      </c>
      <c r="J66" s="105">
        <f>1.94444*60</f>
        <v>116.6664</v>
      </c>
      <c r="K66" s="69">
        <v>260</v>
      </c>
      <c r="L66" s="71">
        <f>(ProbeShack[[#This Row],[1a: Level of Effort (Minutes)]]*ProbeShack[[#This Row],[1a: Frequency (Days in a Year)]])/60</f>
        <v>505.55439999999999</v>
      </c>
      <c r="M66" s="101">
        <f>IFERROR((ProbeShack[[#This Row],[1a: Effective Annual Hours]]-ProbeShack[[#This Row],[Effective Annual Hours]])/ProbeShack[[#This Row],[Effective Annual Hours]],0)</f>
        <v>0</v>
      </c>
    </row>
    <row r="67" spans="1:13">
      <c r="A67" s="90" t="s">
        <v>39</v>
      </c>
      <c r="B67" s="10"/>
      <c r="C67" s="10"/>
      <c r="D67" s="100">
        <f>SUBTOTAL(109,ProbeShack[Level of Effort (Minutes) ])</f>
        <v>479.99973333333332</v>
      </c>
      <c r="E67" s="10"/>
      <c r="F67" s="98">
        <f>SUBTOTAL(109,ProbeShack[Effective Annual Hours])</f>
        <v>2079.9988444444443</v>
      </c>
      <c r="G67" s="98">
        <f>SUBTOTAL(109,ProbeShack[Effective Daily Hours])</f>
        <v>7.9999955555555564</v>
      </c>
      <c r="J67" s="12">
        <f>SUBTOTAL(109,ProbeShack[1a: Level of Effort (Minutes)])</f>
        <v>479.99973333333332</v>
      </c>
      <c r="L67" s="99">
        <f>SUBTOTAL(109,ProbeShack[1a: Effective Annual Hours])</f>
        <v>2079.9988444444443</v>
      </c>
      <c r="M67" s="14"/>
    </row>
    <row r="69" spans="1:13">
      <c r="D69" s="34"/>
    </row>
    <row r="72" spans="1:13" ht="18">
      <c r="A72" s="3" t="s">
        <v>191</v>
      </c>
      <c r="J72" s="157" t="s">
        <v>54</v>
      </c>
      <c r="K72" s="157"/>
      <c r="L72" s="157"/>
      <c r="M72" s="157"/>
    </row>
    <row r="73" spans="1:13" ht="57.6">
      <c r="A73" s="72" t="s">
        <v>55</v>
      </c>
      <c r="B73" s="72" t="s">
        <v>56</v>
      </c>
      <c r="C73" s="72" t="s">
        <v>57</v>
      </c>
      <c r="D73" s="73" t="s">
        <v>58</v>
      </c>
      <c r="E73" s="73" t="s">
        <v>59</v>
      </c>
      <c r="F73" s="73" t="s">
        <v>60</v>
      </c>
      <c r="G73" s="74" t="s">
        <v>61</v>
      </c>
      <c r="H73" s="74" t="s">
        <v>62</v>
      </c>
      <c r="I73" s="74" t="s">
        <v>63</v>
      </c>
      <c r="J73" s="107" t="s">
        <v>64</v>
      </c>
      <c r="K73" s="107" t="s">
        <v>65</v>
      </c>
      <c r="L73" s="107" t="s">
        <v>66</v>
      </c>
      <c r="M73" s="107" t="s">
        <v>67</v>
      </c>
    </row>
    <row r="74" spans="1:13" ht="115.15">
      <c r="A74" s="102" t="s">
        <v>192</v>
      </c>
      <c r="B74" s="39" t="s">
        <v>193</v>
      </c>
      <c r="C74" s="39" t="s">
        <v>194</v>
      </c>
      <c r="D74" s="69">
        <f>7*60</f>
        <v>420</v>
      </c>
      <c r="E74" s="69">
        <v>260</v>
      </c>
      <c r="F74" s="61">
        <f>(FuelOil[[#This Row],[Level of Effort (Minutes) ]]*FuelOil[[#This Row],[Frequency (Days in a Year)]])/60</f>
        <v>1820</v>
      </c>
      <c r="G74" s="61">
        <f>FuelOil[[#This Row],[Effective Annual Hours]]/260</f>
        <v>7</v>
      </c>
      <c r="H74" s="65">
        <f>FuelOil[[#This Row],[Effective Annual Hours]]/FuelOil[[#Totals],[Effective Annual Hours]]</f>
        <v>0.875</v>
      </c>
      <c r="I74" s="104">
        <v>0</v>
      </c>
      <c r="J74" s="104">
        <f t="shared" ref="J74" si="0">420/2</f>
        <v>210</v>
      </c>
      <c r="K74" s="104">
        <v>260</v>
      </c>
      <c r="L74" s="104">
        <f>(FuelOil[[#This Row],[1a: Level of Effort (Minutes)]]*FuelOil[[#This Row],[1a: Frequency (Days in a Year)]])/60</f>
        <v>910</v>
      </c>
      <c r="M74" s="65">
        <f>IFERROR((FuelOil[[#This Row],[1a: Effective Annual Hours]]-FuelOil[[#This Row],[Effective Annual Hours]])/FuelOil[[#This Row],[Effective Annual Hours]],0)</f>
        <v>-0.5</v>
      </c>
    </row>
    <row r="75" spans="1:13" ht="28.9">
      <c r="A75" s="102" t="s">
        <v>195</v>
      </c>
      <c r="B75" s="39" t="s">
        <v>196</v>
      </c>
      <c r="C75" s="39" t="s">
        <v>197</v>
      </c>
      <c r="D75" s="69">
        <v>60</v>
      </c>
      <c r="E75" s="69">
        <v>260</v>
      </c>
      <c r="F75" s="61">
        <f>(FuelOil[[#This Row],[Level of Effort (Minutes) ]]*FuelOil[[#This Row],[Frequency (Days in a Year)]])/60</f>
        <v>260</v>
      </c>
      <c r="G75" s="61">
        <f>FuelOil[[#This Row],[Effective Annual Hours]]/260</f>
        <v>1</v>
      </c>
      <c r="H75" s="65">
        <f>FuelOil[[#This Row],[Effective Annual Hours]]/FuelOil[[#Totals],[Effective Annual Hours]]</f>
        <v>0.125</v>
      </c>
      <c r="I75" s="104">
        <v>0</v>
      </c>
      <c r="J75" s="104">
        <v>60</v>
      </c>
      <c r="K75" s="104">
        <v>260</v>
      </c>
      <c r="L75" s="104">
        <f>(FuelOil[[#This Row],[1a: Level of Effort (Minutes)]]*FuelOil[[#This Row],[1a: Frequency (Days in a Year)]])/60</f>
        <v>260</v>
      </c>
      <c r="M75" s="65">
        <f>IFERROR((FuelOil[[#This Row],[1a: Effective Annual Hours]]-FuelOil[[#This Row],[Effective Annual Hours]])/FuelOil[[#This Row],[Effective Annual Hours]],0)</f>
        <v>0</v>
      </c>
    </row>
    <row r="76" spans="1:13">
      <c r="A76" s="90" t="s">
        <v>39</v>
      </c>
      <c r="B76" s="10"/>
      <c r="C76" s="10"/>
      <c r="D76" s="10">
        <f>SUBTOTAL(109,FuelOil[Level of Effort (Minutes) ])</f>
        <v>480</v>
      </c>
      <c r="E76" s="10"/>
      <c r="F76" s="98">
        <f>SUBTOTAL(109,FuelOil[Effective Annual Hours])</f>
        <v>2080</v>
      </c>
      <c r="G76" s="98">
        <f>SUBTOTAL(109,FuelOil[Effective Daily Hours])</f>
        <v>8</v>
      </c>
      <c r="J76" s="99">
        <f>SUBTOTAL(109,FuelOil[1a: Level of Effort (Minutes)])</f>
        <v>270</v>
      </c>
      <c r="L76" s="99">
        <f>SUBTOTAL(109,FuelOil[1a: Effective Annual Hours])</f>
        <v>1170</v>
      </c>
      <c r="M76" s="14"/>
    </row>
    <row r="78" spans="1:13" ht="18">
      <c r="A78" s="3" t="s">
        <v>198</v>
      </c>
      <c r="J78" s="157" t="s">
        <v>54</v>
      </c>
      <c r="K78" s="157"/>
      <c r="L78" s="157"/>
      <c r="M78" s="157"/>
    </row>
    <row r="79" spans="1:13" ht="57.6">
      <c r="A79" s="72" t="s">
        <v>55</v>
      </c>
      <c r="B79" s="72" t="s">
        <v>56</v>
      </c>
      <c r="C79" s="72" t="s">
        <v>57</v>
      </c>
      <c r="D79" s="73" t="s">
        <v>58</v>
      </c>
      <c r="E79" s="73" t="s">
        <v>59</v>
      </c>
      <c r="F79" s="73" t="s">
        <v>60</v>
      </c>
      <c r="G79" s="74" t="s">
        <v>61</v>
      </c>
      <c r="H79" s="74" t="s">
        <v>62</v>
      </c>
      <c r="I79" s="74" t="s">
        <v>63</v>
      </c>
      <c r="J79" s="107" t="s">
        <v>64</v>
      </c>
      <c r="K79" s="107" t="s">
        <v>65</v>
      </c>
      <c r="L79" s="107" t="s">
        <v>66</v>
      </c>
      <c r="M79" s="107" t="s">
        <v>67</v>
      </c>
    </row>
    <row r="80" spans="1:13" ht="28.9">
      <c r="A80" s="102" t="s">
        <v>199</v>
      </c>
      <c r="B80" s="10" t="s">
        <v>200</v>
      </c>
      <c r="C80" s="10" t="s">
        <v>201</v>
      </c>
      <c r="D80" s="69">
        <f>7*60</f>
        <v>420</v>
      </c>
      <c r="E80" s="69">
        <v>260</v>
      </c>
      <c r="F80" s="61">
        <f>(SweepMop[[#This Row],[Level of Effort (Minutes) ]]*SweepMop[[#This Row],[Frequency (Days in a Year)]])/60</f>
        <v>1820</v>
      </c>
      <c r="G80" s="61">
        <f>SweepMop[[#This Row],[Effective Annual Hours]]/260</f>
        <v>7</v>
      </c>
      <c r="H80" s="65">
        <f>SweepMop[[#This Row],[Effective Annual Hours]]/SweepMop[[#Totals],[Effective Annual Hours]]</f>
        <v>0.875</v>
      </c>
      <c r="I80" s="104">
        <v>0</v>
      </c>
      <c r="J80" s="69">
        <f>7*60</f>
        <v>420</v>
      </c>
      <c r="K80" s="69">
        <v>260</v>
      </c>
      <c r="L80" s="104">
        <f>(SweepMop[[#This Row],[1a: Level of Effort (Minutes)]]*SweepMop[[#This Row],[1a: Frequency (Days in a Year)]])/60</f>
        <v>1820</v>
      </c>
      <c r="M80" s="65">
        <f>IFERROR((SweepMop[[#This Row],[1a: Effective Annual Hours]]-SweepMop[[#This Row],[Effective Annual Hours]])/SweepMop[[#This Row],[Effective Annual Hours]],0)</f>
        <v>0</v>
      </c>
    </row>
    <row r="81" spans="1:13" ht="62.25" customHeight="1">
      <c r="A81" s="102" t="s">
        <v>202</v>
      </c>
      <c r="B81" s="39" t="s">
        <v>196</v>
      </c>
      <c r="C81" s="39" t="s">
        <v>197</v>
      </c>
      <c r="D81" s="69">
        <v>60</v>
      </c>
      <c r="E81" s="69">
        <v>260</v>
      </c>
      <c r="F81" s="61">
        <f>(SweepMop[[#This Row],[Level of Effort (Minutes) ]]*SweepMop[[#This Row],[Frequency (Days in a Year)]])/60</f>
        <v>260</v>
      </c>
      <c r="G81" s="61">
        <f>SweepMop[[#This Row],[Effective Annual Hours]]/260</f>
        <v>1</v>
      </c>
      <c r="H81" s="65">
        <f>SweepMop[[#This Row],[Effective Annual Hours]]/SweepMop[[#Totals],[Effective Annual Hours]]</f>
        <v>0.125</v>
      </c>
      <c r="I81" s="104">
        <v>0</v>
      </c>
      <c r="J81" s="69">
        <v>60</v>
      </c>
      <c r="K81" s="69">
        <v>260</v>
      </c>
      <c r="L81" s="104">
        <f>(SweepMop[[#This Row],[1a: Level of Effort (Minutes)]]*SweepMop[[#This Row],[1a: Frequency (Days in a Year)]])/60</f>
        <v>260</v>
      </c>
      <c r="M81" s="65">
        <f>IFERROR((SweepMop[[#This Row],[1a: Effective Annual Hours]]-SweepMop[[#This Row],[Effective Annual Hours]])/SweepMop[[#This Row],[Effective Annual Hours]],0)</f>
        <v>0</v>
      </c>
    </row>
    <row r="82" spans="1:13">
      <c r="A82" s="15" t="s">
        <v>39</v>
      </c>
      <c r="C82" s="10"/>
      <c r="D82" s="10">
        <f>SUBTOTAL(109,SweepMop[Level of Effort (Minutes) ])</f>
        <v>480</v>
      </c>
      <c r="E82" s="10"/>
      <c r="F82" s="98">
        <f>SUBTOTAL(109,SweepMop[Effective Annual Hours])</f>
        <v>2080</v>
      </c>
      <c r="G82" s="98">
        <f>SUBTOTAL(109,SweepMop[Effective Daily Hours])</f>
        <v>8</v>
      </c>
      <c r="J82" s="99">
        <f>SUBTOTAL(109,SweepMop[1a: Level of Effort (Minutes)])</f>
        <v>480</v>
      </c>
      <c r="L82" s="99">
        <f>SUBTOTAL(109,SweepMop[1a: Effective Annual Hours])</f>
        <v>2080</v>
      </c>
      <c r="M82" s="14"/>
    </row>
    <row r="86" spans="1:13" ht="18">
      <c r="A86" s="3" t="s">
        <v>203</v>
      </c>
      <c r="J86" s="157" t="s">
        <v>54</v>
      </c>
      <c r="K86" s="157"/>
      <c r="L86" s="157"/>
      <c r="M86" s="157"/>
    </row>
    <row r="87" spans="1:13" ht="57.6">
      <c r="A87" s="72" t="s">
        <v>55</v>
      </c>
      <c r="B87" s="72" t="s">
        <v>56</v>
      </c>
      <c r="C87" s="72" t="s">
        <v>57</v>
      </c>
      <c r="D87" s="73" t="s">
        <v>58</v>
      </c>
      <c r="E87" s="73" t="s">
        <v>59</v>
      </c>
      <c r="F87" s="73" t="s">
        <v>60</v>
      </c>
      <c r="G87" s="74" t="s">
        <v>61</v>
      </c>
      <c r="H87" s="74" t="s">
        <v>62</v>
      </c>
      <c r="I87" s="74" t="s">
        <v>63</v>
      </c>
      <c r="J87" s="107" t="s">
        <v>64</v>
      </c>
      <c r="K87" s="107" t="s">
        <v>65</v>
      </c>
      <c r="L87" s="107" t="s">
        <v>66</v>
      </c>
      <c r="M87" s="107" t="s">
        <v>67</v>
      </c>
    </row>
    <row r="88" spans="1:13" ht="43.15">
      <c r="A88" s="42" t="s">
        <v>204</v>
      </c>
      <c r="B88" s="43" t="s">
        <v>205</v>
      </c>
      <c r="C88" s="43" t="s">
        <v>206</v>
      </c>
      <c r="D88" s="69">
        <f>7*60</f>
        <v>420</v>
      </c>
      <c r="E88" s="69">
        <v>260</v>
      </c>
      <c r="F88" s="61">
        <f>(WindowDash[[#This Row],[Level of Effort (Minutes) ]]*WindowDash[[#This Row],[Frequency (Days in a Year)]])/60</f>
        <v>1820</v>
      </c>
      <c r="G88" s="61">
        <f>WindowDash[[#This Row],[Effective Annual Hours]]/260</f>
        <v>7</v>
      </c>
      <c r="H88" s="65">
        <f>WindowDash[[#This Row],[Effective Annual Hours]]/WindowDash[[#Totals],[Effective Annual Hours]]</f>
        <v>0.875</v>
      </c>
      <c r="I88" s="104">
        <v>0</v>
      </c>
      <c r="J88" s="69">
        <f>7*60</f>
        <v>420</v>
      </c>
      <c r="K88" s="69">
        <v>260</v>
      </c>
      <c r="L88" s="104">
        <f>(WindowDash[[#This Row],[1a: Level of Effort (Minutes)]]*WindowDash[[#This Row],[1a: Frequency (Days in a Year)]])/60</f>
        <v>1820</v>
      </c>
      <c r="M88" s="65">
        <f>IFERROR((WindowDash[[#This Row],[1a: Effective Annual Hours]]-WindowDash[[#This Row],[Effective Annual Hours]])/WindowDash[[#This Row],[Effective Annual Hours]],0)</f>
        <v>0</v>
      </c>
    </row>
    <row r="89" spans="1:13" ht="43.15">
      <c r="A89" s="42" t="s">
        <v>207</v>
      </c>
      <c r="B89" s="39" t="s">
        <v>196</v>
      </c>
      <c r="C89" s="39" t="s">
        <v>197</v>
      </c>
      <c r="D89" s="69">
        <v>60</v>
      </c>
      <c r="E89" s="69">
        <v>260</v>
      </c>
      <c r="F89" s="61">
        <f>(WindowDash[[#This Row],[Level of Effort (Minutes) ]]*WindowDash[[#This Row],[Frequency (Days in a Year)]])/60</f>
        <v>260</v>
      </c>
      <c r="G89" s="61">
        <f>WindowDash[[#This Row],[Effective Annual Hours]]/260</f>
        <v>1</v>
      </c>
      <c r="H89" s="65">
        <f>WindowDash[[#This Row],[Effective Annual Hours]]/WindowDash[[#Totals],[Effective Annual Hours]]</f>
        <v>0.125</v>
      </c>
      <c r="I89" s="104">
        <v>0</v>
      </c>
      <c r="J89" s="69">
        <v>60</v>
      </c>
      <c r="K89" s="69">
        <v>260</v>
      </c>
      <c r="L89" s="104">
        <f>(WindowDash[[#This Row],[1a: Level of Effort (Minutes)]]*WindowDash[[#This Row],[1a: Frequency (Days in a Year)]])/60</f>
        <v>260</v>
      </c>
      <c r="M89" s="65">
        <f>IFERROR((WindowDash[[#This Row],[1a: Effective Annual Hours]]-WindowDash[[#This Row],[Effective Annual Hours]])/WindowDash[[#This Row],[Effective Annual Hours]],0)</f>
        <v>0</v>
      </c>
    </row>
    <row r="90" spans="1:13">
      <c r="A90" s="50" t="s">
        <v>39</v>
      </c>
      <c r="B90" s="50"/>
      <c r="C90" s="43"/>
      <c r="D90" s="77">
        <f>SUBTOTAL(109,WindowDash[Level of Effort (Minutes) ])</f>
        <v>480</v>
      </c>
      <c r="E90" s="77"/>
      <c r="F90" s="75">
        <f>SUBTOTAL(109,WindowDash[Effective Annual Hours])</f>
        <v>2080</v>
      </c>
      <c r="G90" s="75">
        <f>SUBTOTAL(109,WindowDash[Effective Daily Hours])</f>
        <v>8</v>
      </c>
      <c r="H90" s="78"/>
      <c r="I90" s="78"/>
      <c r="J90" s="71">
        <f>SUBTOTAL(109,WindowDash[1a: Level of Effort (Minutes)])</f>
        <v>480</v>
      </c>
      <c r="K90" s="78"/>
      <c r="L90" s="71">
        <f>SUBTOTAL(109,WindowDash[1a: Effective Annual Hours])</f>
        <v>2080</v>
      </c>
      <c r="M90" s="81"/>
    </row>
    <row r="92" spans="1:13" ht="18">
      <c r="A92" s="3" t="s">
        <v>208</v>
      </c>
      <c r="J92" s="157" t="s">
        <v>54</v>
      </c>
      <c r="K92" s="157"/>
      <c r="L92" s="157"/>
      <c r="M92" s="157"/>
    </row>
    <row r="93" spans="1:13" ht="57.6">
      <c r="A93" s="72" t="s">
        <v>55</v>
      </c>
      <c r="B93" s="72" t="s">
        <v>56</v>
      </c>
      <c r="C93" s="72" t="s">
        <v>57</v>
      </c>
      <c r="D93" s="73" t="s">
        <v>58</v>
      </c>
      <c r="E93" s="73" t="s">
        <v>59</v>
      </c>
      <c r="F93" s="73" t="s">
        <v>60</v>
      </c>
      <c r="G93" s="74" t="s">
        <v>61</v>
      </c>
      <c r="H93" s="74" t="s">
        <v>62</v>
      </c>
      <c r="I93" s="74" t="s">
        <v>63</v>
      </c>
      <c r="J93" s="107" t="s">
        <v>64</v>
      </c>
      <c r="K93" s="107" t="s">
        <v>65</v>
      </c>
      <c r="L93" s="107" t="s">
        <v>66</v>
      </c>
      <c r="M93" s="148" t="s">
        <v>67</v>
      </c>
    </row>
    <row r="94" spans="1:13" ht="36">
      <c r="A94" s="132" t="s">
        <v>209</v>
      </c>
      <c r="B94" s="133" t="s">
        <v>210</v>
      </c>
      <c r="C94" s="133" t="s">
        <v>211</v>
      </c>
      <c r="D94" s="134">
        <v>80</v>
      </c>
      <c r="E94" s="135">
        <v>260</v>
      </c>
      <c r="F94" s="136">
        <f>(PullPark[[#This Row],[Level of Effort (Minutes) ]]*PullPark[[#This Row],[Frequency (Days in a Year)]])/60</f>
        <v>346.66666666666669</v>
      </c>
      <c r="G94" s="136">
        <f>PullPark[[#This Row],[Effective Annual Hours]]/260</f>
        <v>1.3333333333333335</v>
      </c>
      <c r="H94" s="137">
        <f>PullPark[[#This Row],[Effective Annual Hours]]/PullPark[[#Totals],[Effective Annual Hours]]</f>
        <v>0.16666666666666669</v>
      </c>
      <c r="I94" s="138" t="s">
        <v>77</v>
      </c>
      <c r="J94" s="138">
        <v>0</v>
      </c>
      <c r="K94" s="138">
        <v>0</v>
      </c>
      <c r="L94" s="138">
        <f>(PullPark[[#This Row],[1a: Level of Effort (Minutes)]]*PullPark[[#This Row],[1a: Frequency (Days in a Year)]])/60</f>
        <v>0</v>
      </c>
      <c r="M94" s="137">
        <f>IFERROR((PullPark[[#This Row],[1a: Effective Annual Hours]]-PullPark[[#This Row],[Effective Annual Hours]])/PullPark[[#This Row],[Effective Annual Hours]],0)</f>
        <v>-1</v>
      </c>
    </row>
    <row r="95" spans="1:13" ht="36">
      <c r="A95" s="132" t="s">
        <v>212</v>
      </c>
      <c r="B95" s="133" t="s">
        <v>213</v>
      </c>
      <c r="C95" s="133" t="s">
        <v>214</v>
      </c>
      <c r="D95" s="134">
        <v>80</v>
      </c>
      <c r="E95" s="135">
        <v>260</v>
      </c>
      <c r="F95" s="136">
        <f>(PullPark[[#This Row],[Level of Effort (Minutes) ]]*PullPark[[#This Row],[Frequency (Days in a Year)]])/60</f>
        <v>346.66666666666669</v>
      </c>
      <c r="G95" s="136">
        <f>PullPark[[#This Row],[Effective Annual Hours]]/260</f>
        <v>1.3333333333333335</v>
      </c>
      <c r="H95" s="137">
        <f>PullPark[[#This Row],[Effective Annual Hours]]/PullPark[[#Totals],[Effective Annual Hours]]</f>
        <v>0.16666666666666669</v>
      </c>
      <c r="I95" s="139" t="s">
        <v>77</v>
      </c>
      <c r="J95" s="139">
        <v>0</v>
      </c>
      <c r="K95" s="139">
        <v>0</v>
      </c>
      <c r="L95" s="138">
        <f>(PullPark[[#This Row],[1a: Level of Effort (Minutes)]]*PullPark[[#This Row],[1a: Frequency (Days in a Year)]])/60</f>
        <v>0</v>
      </c>
      <c r="M95" s="137">
        <f>IFERROR((PullPark[[#This Row],[1a: Effective Annual Hours]]-PullPark[[#This Row],[Effective Annual Hours]])/PullPark[[#This Row],[Effective Annual Hours]],0)</f>
        <v>-1</v>
      </c>
    </row>
    <row r="96" spans="1:13" ht="72">
      <c r="A96" s="132" t="s">
        <v>215</v>
      </c>
      <c r="B96" s="140" t="s">
        <v>216</v>
      </c>
      <c r="C96" s="140" t="s">
        <v>217</v>
      </c>
      <c r="D96" s="134">
        <v>80</v>
      </c>
      <c r="E96" s="135">
        <v>260</v>
      </c>
      <c r="F96" s="136">
        <f>(PullPark[[#This Row],[Level of Effort (Minutes) ]]*PullPark[[#This Row],[Frequency (Days in a Year)]])/60</f>
        <v>346.66666666666669</v>
      </c>
      <c r="G96" s="136">
        <f>PullPark[[#This Row],[Effective Annual Hours]]/260</f>
        <v>1.3333333333333335</v>
      </c>
      <c r="H96" s="137">
        <f>PullPark[[#This Row],[Effective Annual Hours]]/PullPark[[#Totals],[Effective Annual Hours]]</f>
        <v>0.16666666666666669</v>
      </c>
      <c r="I96" s="139" t="s">
        <v>77</v>
      </c>
      <c r="J96" s="139">
        <v>0</v>
      </c>
      <c r="K96" s="139">
        <v>0</v>
      </c>
      <c r="L96" s="138">
        <f>(PullPark[[#This Row],[1a: Level of Effort (Minutes)]]*PullPark[[#This Row],[1a: Frequency (Days in a Year)]])/60</f>
        <v>0</v>
      </c>
      <c r="M96" s="137">
        <f>IFERROR((PullPark[[#This Row],[1a: Effective Annual Hours]]-PullPark[[#This Row],[Effective Annual Hours]])/PullPark[[#This Row],[Effective Annual Hours]],0)</f>
        <v>-1</v>
      </c>
    </row>
    <row r="97" spans="1:15" ht="90">
      <c r="A97" s="132" t="s">
        <v>218</v>
      </c>
      <c r="B97" s="133" t="s">
        <v>219</v>
      </c>
      <c r="C97" s="133" t="s">
        <v>220</v>
      </c>
      <c r="D97" s="134">
        <v>80</v>
      </c>
      <c r="E97" s="135">
        <v>260</v>
      </c>
      <c r="F97" s="136">
        <f>(PullPark[[#This Row],[Level of Effort (Minutes) ]]*PullPark[[#This Row],[Frequency (Days in a Year)]])/60</f>
        <v>346.66666666666669</v>
      </c>
      <c r="G97" s="136">
        <f>PullPark[[#This Row],[Effective Annual Hours]]/260</f>
        <v>1.3333333333333335</v>
      </c>
      <c r="H97" s="137">
        <f>PullPark[[#This Row],[Effective Annual Hours]]/PullPark[[#Totals],[Effective Annual Hours]]</f>
        <v>0.16666666666666669</v>
      </c>
      <c r="I97" s="139" t="s">
        <v>77</v>
      </c>
      <c r="J97" s="139">
        <v>0</v>
      </c>
      <c r="K97" s="139">
        <v>0</v>
      </c>
      <c r="L97" s="138">
        <f>(PullPark[[#This Row],[1a: Level of Effort (Minutes)]]*PullPark[[#This Row],[1a: Frequency (Days in a Year)]])/60</f>
        <v>0</v>
      </c>
      <c r="M97" s="137">
        <f>IFERROR((PullPark[[#This Row],[1a: Effective Annual Hours]]-PullPark[[#This Row],[Effective Annual Hours]])/PullPark[[#This Row],[Effective Annual Hours]],0)</f>
        <v>-1</v>
      </c>
    </row>
    <row r="98" spans="1:15" ht="54">
      <c r="A98" s="132" t="s">
        <v>221</v>
      </c>
      <c r="B98" s="133" t="s">
        <v>222</v>
      </c>
      <c r="C98" s="133" t="s">
        <v>223</v>
      </c>
      <c r="D98" s="134">
        <v>80</v>
      </c>
      <c r="E98" s="135">
        <v>260</v>
      </c>
      <c r="F98" s="136">
        <f>(PullPark[[#This Row],[Level of Effort (Minutes) ]]*PullPark[[#This Row],[Frequency (Days in a Year)]])/60</f>
        <v>346.66666666666669</v>
      </c>
      <c r="G98" s="136">
        <f>PullPark[[#This Row],[Effective Annual Hours]]/260</f>
        <v>1.3333333333333335</v>
      </c>
      <c r="H98" s="137">
        <f>PullPark[[#This Row],[Effective Annual Hours]]/PullPark[[#Totals],[Effective Annual Hours]]</f>
        <v>0.16666666666666669</v>
      </c>
      <c r="I98" s="138" t="s">
        <v>77</v>
      </c>
      <c r="J98" s="138">
        <v>0</v>
      </c>
      <c r="K98" s="138">
        <v>0</v>
      </c>
      <c r="L98" s="138">
        <f>(PullPark[[#This Row],[1a: Level of Effort (Minutes)]]*PullPark[[#This Row],[1a: Frequency (Days in a Year)]])/60</f>
        <v>0</v>
      </c>
      <c r="M98" s="137">
        <f>IFERROR((PullPark[[#This Row],[1a: Effective Annual Hours]]-PullPark[[#This Row],[Effective Annual Hours]])/PullPark[[#This Row],[Effective Annual Hours]],0)</f>
        <v>-1</v>
      </c>
    </row>
    <row r="99" spans="1:15" ht="54">
      <c r="A99" s="141" t="s">
        <v>224</v>
      </c>
      <c r="B99" s="133" t="s">
        <v>225</v>
      </c>
      <c r="C99" s="133" t="s">
        <v>226</v>
      </c>
      <c r="D99" s="134">
        <v>80</v>
      </c>
      <c r="E99" s="135">
        <v>260</v>
      </c>
      <c r="F99" s="136">
        <f>(PullPark[[#This Row],[Level of Effort (Minutes) ]]*PullPark[[#This Row],[Frequency (Days in a Year)]])/60</f>
        <v>346.66666666666669</v>
      </c>
      <c r="G99" s="136">
        <f>PullPark[[#This Row],[Effective Annual Hours]]/260</f>
        <v>1.3333333333333335</v>
      </c>
      <c r="H99" s="137">
        <f>PullPark[[#This Row],[Effective Annual Hours]]/PullPark[[#Totals],[Effective Annual Hours]]</f>
        <v>0.16666666666666669</v>
      </c>
      <c r="I99" s="139" t="s">
        <v>77</v>
      </c>
      <c r="J99" s="139">
        <v>0</v>
      </c>
      <c r="K99" s="139">
        <v>0</v>
      </c>
      <c r="L99" s="138">
        <f>(PullPark[[#This Row],[1a: Level of Effort (Minutes)]]*PullPark[[#This Row],[1a: Frequency (Days in a Year)]])/60</f>
        <v>0</v>
      </c>
      <c r="M99" s="137">
        <f>IFERROR((PullPark[[#This Row],[1a: Effective Annual Hours]]-PullPark[[#This Row],[Effective Annual Hours]])/PullPark[[#This Row],[Effective Annual Hours]],0)</f>
        <v>-1</v>
      </c>
    </row>
    <row r="100" spans="1:15" ht="18">
      <c r="A100" s="142" t="s">
        <v>39</v>
      </c>
      <c r="B100" s="143"/>
      <c r="C100" s="143"/>
      <c r="D100" s="143">
        <f>SUBTOTAL(109,PullPark[Level of Effort (Minutes) ])</f>
        <v>480</v>
      </c>
      <c r="E100" s="143"/>
      <c r="F100" s="144">
        <f>SUBTOTAL(109,PullPark[Effective Annual Hours])</f>
        <v>2080</v>
      </c>
      <c r="G100" s="144">
        <f>SUBTOTAL(109,PullPark[Effective Daily Hours])</f>
        <v>8.0000000000000018</v>
      </c>
      <c r="H100" s="145"/>
      <c r="I100" s="145"/>
      <c r="J100" s="145">
        <f>SUBTOTAL(109,PullPark[1a: Level of Effort (Minutes)])</f>
        <v>0</v>
      </c>
      <c r="K100" s="145"/>
      <c r="L100" s="146">
        <f>SUBTOTAL(109,PullPark[1a: Effective Annual Hours])</f>
        <v>0</v>
      </c>
      <c r="M100" s="147">
        <f>IFERROR((PullPark[[#Totals],[1a: Effective Annual Hours]]-PullPark[[#Totals],[Effective Annual Hours]])/PullPark[[#Totals],[Effective Annual Hours]],0)</f>
        <v>-1</v>
      </c>
    </row>
    <row r="101" spans="1:15" s="50" customFormat="1">
      <c r="A101"/>
      <c r="B101"/>
      <c r="C101"/>
      <c r="D101"/>
      <c r="E101"/>
      <c r="F101"/>
      <c r="G101"/>
      <c r="H101"/>
      <c r="I101"/>
      <c r="J101"/>
      <c r="K101"/>
      <c r="L101"/>
      <c r="M101"/>
      <c r="N101"/>
      <c r="O101"/>
    </row>
    <row r="104" spans="1:15" ht="18">
      <c r="A104" s="3" t="s">
        <v>227</v>
      </c>
      <c r="J104" s="157" t="s">
        <v>54</v>
      </c>
      <c r="K104" s="157"/>
      <c r="L104" s="157"/>
      <c r="M104" s="157"/>
    </row>
    <row r="105" spans="1:15" ht="57.6">
      <c r="A105" s="72" t="s">
        <v>55</v>
      </c>
      <c r="B105" s="72" t="s">
        <v>56</v>
      </c>
      <c r="C105" s="72" t="s">
        <v>57</v>
      </c>
      <c r="D105" s="73" t="s">
        <v>58</v>
      </c>
      <c r="E105" s="73" t="s">
        <v>59</v>
      </c>
      <c r="F105" s="73" t="s">
        <v>60</v>
      </c>
      <c r="G105" s="74" t="s">
        <v>61</v>
      </c>
      <c r="H105" s="74" t="s">
        <v>62</v>
      </c>
      <c r="I105" s="74" t="s">
        <v>63</v>
      </c>
      <c r="J105" s="107" t="s">
        <v>64</v>
      </c>
      <c r="K105" s="107" t="s">
        <v>65</v>
      </c>
      <c r="L105" s="107" t="s">
        <v>66</v>
      </c>
      <c r="M105" s="148" t="s">
        <v>67</v>
      </c>
    </row>
    <row r="106" spans="1:15" ht="28.9">
      <c r="A106" s="42" t="s">
        <v>228</v>
      </c>
      <c r="B106" s="10" t="s">
        <v>229</v>
      </c>
      <c r="C106" s="10" t="s">
        <v>230</v>
      </c>
      <c r="D106" s="77">
        <v>0</v>
      </c>
      <c r="E106" s="77">
        <v>0</v>
      </c>
      <c r="F106" s="77">
        <f>(YardSuper[[#This Row],[Level of Effort (Minutes) ]]*YardSuper[[#This Row],[Frequency (Days in a Year)]])/60</f>
        <v>0</v>
      </c>
      <c r="G106" s="77">
        <f>YardSuper[[#This Row],[Effective Annual Hours]]/260</f>
        <v>0</v>
      </c>
      <c r="H106" s="101">
        <f>IFERROR(YardSuper[[#This Row],[Effective Annual Hours]]/YardSuper[[#Totals],[Effective Annual Hours]],0)</f>
        <v>0</v>
      </c>
      <c r="I106" s="78" t="s">
        <v>77</v>
      </c>
      <c r="J106" s="78">
        <v>180</v>
      </c>
      <c r="K106" s="78">
        <v>260</v>
      </c>
      <c r="L106" s="97">
        <f>(YardSuper[[#This Row],[1a: Level of Effort (Minutes)]]*YardSuper[[#This Row],[1a: Frequency (Days in a Year)]])/60</f>
        <v>780</v>
      </c>
      <c r="M106" s="101">
        <f>IFERROR((YardSuper[[#This Row],[1a: Effective Annual Hours]]-YardSuper[[#This Row],[Effective Annual Hours]])/YardSuper[[#This Row],[Effective Annual Hours]],0)</f>
        <v>0</v>
      </c>
    </row>
    <row r="107" spans="1:15" ht="43.15">
      <c r="A107" s="42" t="s">
        <v>231</v>
      </c>
      <c r="B107" s="44" t="s">
        <v>232</v>
      </c>
      <c r="C107" s="10" t="s">
        <v>154</v>
      </c>
      <c r="D107" s="77">
        <v>0</v>
      </c>
      <c r="E107" s="77">
        <v>0</v>
      </c>
      <c r="F107" s="77">
        <f>(YardSuper[[#This Row],[Level of Effort (Minutes) ]]*YardSuper[[#This Row],[Frequency (Days in a Year)]])/60</f>
        <v>0</v>
      </c>
      <c r="G107" s="77">
        <f>YardSuper[[#This Row],[Effective Annual Hours]]/260</f>
        <v>0</v>
      </c>
      <c r="H107" s="101">
        <f>IFERROR(YardSuper[[#This Row],[Effective Annual Hours]]/YardSuper[[#Totals],[Effective Annual Hours]],0)</f>
        <v>0</v>
      </c>
      <c r="I107" s="78" t="s">
        <v>77</v>
      </c>
      <c r="J107" s="66">
        <f>2*NumDailyPullIns/2</f>
        <v>130</v>
      </c>
      <c r="K107" s="66">
        <v>260</v>
      </c>
      <c r="L107" s="97">
        <f>(YardSuper[[#This Row],[1a: Level of Effort (Minutes)]]*YardSuper[[#This Row],[1a: Frequency (Days in a Year)]])/60</f>
        <v>563.33333333333337</v>
      </c>
      <c r="M107" s="101">
        <f>IFERROR((YardSuper[[#This Row],[1a: Effective Annual Hours]]-YardSuper[[#This Row],[Effective Annual Hours]])/YardSuper[[#This Row],[Effective Annual Hours]],0)</f>
        <v>0</v>
      </c>
    </row>
    <row r="108" spans="1:15">
      <c r="A108" s="42" t="s">
        <v>233</v>
      </c>
      <c r="B108" s="44" t="s">
        <v>234</v>
      </c>
      <c r="C108" s="10" t="s">
        <v>235</v>
      </c>
      <c r="D108" s="77">
        <v>0</v>
      </c>
      <c r="E108" s="77">
        <v>0</v>
      </c>
      <c r="F108" s="77">
        <f>(YardSuper[[#This Row],[Level of Effort (Minutes) ]]*YardSuper[[#This Row],[Frequency (Days in a Year)]])/60</f>
        <v>0</v>
      </c>
      <c r="G108" s="77">
        <f>YardSuper[[#This Row],[Effective Annual Hours]]/260</f>
        <v>0</v>
      </c>
      <c r="H108" s="101">
        <f>IFERROR(YardSuper[[#This Row],[Effective Annual Hours]]/YardSuper[[#Totals],[Effective Annual Hours]],0)</f>
        <v>0</v>
      </c>
      <c r="I108" s="78" t="s">
        <v>77</v>
      </c>
      <c r="J108" s="66">
        <v>120</v>
      </c>
      <c r="K108" s="66">
        <v>260</v>
      </c>
      <c r="L108" s="97">
        <f>(YardSuper[[#This Row],[1a: Level of Effort (Minutes)]]*YardSuper[[#This Row],[1a: Frequency (Days in a Year)]])/60</f>
        <v>520</v>
      </c>
      <c r="M108" s="101">
        <f>IFERROR((YardSuper[[#This Row],[1a: Effective Annual Hours]]-YardSuper[[#This Row],[Effective Annual Hours]])/YardSuper[[#This Row],[Effective Annual Hours]],0)</f>
        <v>0</v>
      </c>
    </row>
    <row r="109" spans="1:15" ht="28.9">
      <c r="A109" s="42" t="s">
        <v>236</v>
      </c>
      <c r="B109" s="44" t="s">
        <v>237</v>
      </c>
      <c r="C109" s="10" t="s">
        <v>238</v>
      </c>
      <c r="D109" s="77">
        <v>0</v>
      </c>
      <c r="E109" s="77">
        <v>0</v>
      </c>
      <c r="F109" s="77">
        <f>(YardSuper[[#This Row],[Level of Effort (Minutes) ]]*YardSuper[[#This Row],[Frequency (Days in a Year)]])/60</f>
        <v>0</v>
      </c>
      <c r="G109" s="77">
        <f>YardSuper[[#This Row],[Effective Annual Hours]]/260</f>
        <v>0</v>
      </c>
      <c r="H109" s="101">
        <f>IFERROR(YardSuper[[#This Row],[Effective Annual Hours]]/YardSuper[[#Totals],[Effective Annual Hours]],0)</f>
        <v>0</v>
      </c>
      <c r="I109" s="78" t="s">
        <v>77</v>
      </c>
      <c r="J109" s="66">
        <v>50</v>
      </c>
      <c r="K109" s="66">
        <v>260</v>
      </c>
      <c r="L109" s="97">
        <f>(YardSuper[[#This Row],[1a: Level of Effort (Minutes)]]*YardSuper[[#This Row],[1a: Frequency (Days in a Year)]])/60</f>
        <v>216.66666666666666</v>
      </c>
      <c r="M109" s="101">
        <f>IFERROR((YardSuper[[#This Row],[1a: Effective Annual Hours]]-YardSuper[[#This Row],[Effective Annual Hours]])/YardSuper[[#This Row],[Effective Annual Hours]],0)</f>
        <v>0</v>
      </c>
    </row>
    <row r="110" spans="1:15" ht="35.450000000000003" customHeight="1">
      <c r="A110" s="142" t="s">
        <v>39</v>
      </c>
      <c r="B110" s="143"/>
      <c r="C110" s="143"/>
      <c r="D110" s="143">
        <f>SUBTOTAL(109,YardSuper[Level of Effort (Minutes) ])</f>
        <v>0</v>
      </c>
      <c r="E110" s="143"/>
      <c r="F110" s="144">
        <f>SUBTOTAL(109,YardSuper[Effective Annual Hours])</f>
        <v>0</v>
      </c>
      <c r="G110" s="144">
        <f>SUBTOTAL(109,YardSuper[Effective Daily Hours])</f>
        <v>0</v>
      </c>
      <c r="H110" s="145"/>
      <c r="I110" s="145"/>
      <c r="J110" s="145">
        <f>SUBTOTAL(109,YardSuper[1a: Level of Effort (Minutes)])</f>
        <v>480</v>
      </c>
      <c r="K110" s="145"/>
      <c r="L110" s="146">
        <f>SUBTOTAL(109,YardSuper[1a: Effective Annual Hours])</f>
        <v>2080</v>
      </c>
      <c r="M110" s="147">
        <f>IFERROR((YardSuper[[#Totals],[1a: Effective Annual Hours]]-YardSuper[[#Totals],[Effective Annual Hours]])/YardSuper[[#Totals],[Effective Annual Hours]],0)</f>
        <v>0</v>
      </c>
    </row>
    <row r="113" spans="1:13" ht="42" customHeight="1">
      <c r="A113" s="3" t="s">
        <v>239</v>
      </c>
      <c r="J113" s="157" t="s">
        <v>54</v>
      </c>
      <c r="K113" s="157"/>
      <c r="L113" s="157"/>
      <c r="M113" s="157"/>
    </row>
    <row r="114" spans="1:13" ht="38.25" customHeight="1">
      <c r="A114" s="72" t="s">
        <v>55</v>
      </c>
      <c r="B114" s="72" t="s">
        <v>56</v>
      </c>
      <c r="C114" s="72" t="s">
        <v>57</v>
      </c>
      <c r="D114" s="73" t="s">
        <v>58</v>
      </c>
      <c r="E114" s="73" t="s">
        <v>59</v>
      </c>
      <c r="F114" s="73" t="s">
        <v>60</v>
      </c>
      <c r="G114" s="74" t="s">
        <v>61</v>
      </c>
      <c r="H114" s="74" t="s">
        <v>62</v>
      </c>
      <c r="I114" s="74" t="s">
        <v>63</v>
      </c>
      <c r="J114" s="107" t="s">
        <v>64</v>
      </c>
      <c r="K114" s="107" t="s">
        <v>65</v>
      </c>
      <c r="L114" s="107" t="s">
        <v>66</v>
      </c>
      <c r="M114" s="148" t="s">
        <v>67</v>
      </c>
    </row>
    <row r="115" spans="1:13" ht="60.6" customHeight="1">
      <c r="A115" s="42" t="s">
        <v>240</v>
      </c>
      <c r="B115" s="10" t="s">
        <v>241</v>
      </c>
      <c r="C115" s="44" t="s">
        <v>242</v>
      </c>
      <c r="D115" s="77">
        <v>0</v>
      </c>
      <c r="E115" s="77">
        <v>0</v>
      </c>
      <c r="F115" s="77">
        <f>(YardHostler[[#This Row],[Level of Effort (Minutes) ]]*YardHostler[[#This Row],[Frequency (Days in a Year)]])/60</f>
        <v>0</v>
      </c>
      <c r="G115" s="77">
        <f>YardHostler[[#This Row],[Effective Annual Hours]]/260</f>
        <v>0</v>
      </c>
      <c r="H115" s="101">
        <f>IFERROR(YardHostler[[#This Row],[Effective Annual Hours]]/YardHostler[[#Totals],[Effective Annual Hours]],0)</f>
        <v>0</v>
      </c>
      <c r="I115" s="78" t="s">
        <v>77</v>
      </c>
      <c r="J115" s="78">
        <v>180</v>
      </c>
      <c r="K115" s="78">
        <v>260</v>
      </c>
      <c r="L115" s="97">
        <f>(YardHostler[[#This Row],[1a: Level of Effort (Minutes)]]*YardHostler[[#This Row],[1a: Frequency (Days in a Year)]])/60</f>
        <v>780</v>
      </c>
      <c r="M115" s="101">
        <f>IFERROR((YardHostler[[#This Row],[1a: Effective Annual Hours]]-YardHostler[[#This Row],[Effective Annual Hours]])/YardHostler[[#This Row],[Effective Annual Hours]],0)</f>
        <v>0</v>
      </c>
    </row>
    <row r="116" spans="1:13" ht="75" customHeight="1">
      <c r="A116" s="42" t="s">
        <v>243</v>
      </c>
      <c r="B116" s="44" t="s">
        <v>244</v>
      </c>
      <c r="C116" s="10" t="s">
        <v>245</v>
      </c>
      <c r="D116" s="77">
        <v>0</v>
      </c>
      <c r="E116" s="77">
        <v>0</v>
      </c>
      <c r="F116" s="77">
        <f>(YardHostler[[#This Row],[Level of Effort (Minutes) ]]*YardHostler[[#This Row],[Frequency (Days in a Year)]])/60</f>
        <v>0</v>
      </c>
      <c r="G116" s="77">
        <f>YardHostler[[#This Row],[Effective Annual Hours]]/260</f>
        <v>0</v>
      </c>
      <c r="H116" s="101">
        <f>IFERROR(YardHostler[[#This Row],[Effective Annual Hours]]/YardHostler[[#Totals],[Effective Annual Hours]],0)</f>
        <v>0</v>
      </c>
      <c r="I116" s="78" t="s">
        <v>77</v>
      </c>
      <c r="J116" s="66">
        <f>2*NumDailyPullIns/2</f>
        <v>130</v>
      </c>
      <c r="K116" s="66">
        <v>260</v>
      </c>
      <c r="L116" s="97">
        <f>(YardHostler[[#This Row],[1a: Level of Effort (Minutes)]]*YardHostler[[#This Row],[1a: Frequency (Days in a Year)]])/60</f>
        <v>563.33333333333337</v>
      </c>
      <c r="M116" s="101">
        <f>IFERROR((YardHostler[[#This Row],[1a: Effective Annual Hours]]-YardHostler[[#This Row],[Effective Annual Hours]])/YardHostler[[#This Row],[Effective Annual Hours]],0)</f>
        <v>0</v>
      </c>
    </row>
    <row r="117" spans="1:13" ht="50.45" customHeight="1">
      <c r="A117" s="42" t="s">
        <v>246</v>
      </c>
      <c r="B117" s="44" t="s">
        <v>234</v>
      </c>
      <c r="C117" s="10" t="s">
        <v>247</v>
      </c>
      <c r="D117" s="77">
        <v>0</v>
      </c>
      <c r="E117" s="77">
        <v>0</v>
      </c>
      <c r="F117" s="77">
        <f>(YardHostler[[#This Row],[Level of Effort (Minutes) ]]*YardHostler[[#This Row],[Frequency (Days in a Year)]])/60</f>
        <v>0</v>
      </c>
      <c r="G117" s="77">
        <f>YardHostler[[#This Row],[Effective Annual Hours]]/260</f>
        <v>0</v>
      </c>
      <c r="H117" s="101">
        <f>IFERROR(YardHostler[[#This Row],[Effective Annual Hours]]/YardHostler[[#Totals],[Effective Annual Hours]],0)</f>
        <v>0</v>
      </c>
      <c r="I117" s="78" t="s">
        <v>77</v>
      </c>
      <c r="J117" s="66">
        <v>120</v>
      </c>
      <c r="K117" s="66">
        <v>260</v>
      </c>
      <c r="L117" s="97">
        <f>(YardHostler[[#This Row],[1a: Level of Effort (Minutes)]]*YardHostler[[#This Row],[1a: Frequency (Days in a Year)]])/60</f>
        <v>520</v>
      </c>
      <c r="M117" s="101">
        <f>IFERROR((YardHostler[[#This Row],[1a: Effective Annual Hours]]-YardHostler[[#This Row],[Effective Annual Hours]])/YardHostler[[#This Row],[Effective Annual Hours]],0)</f>
        <v>0</v>
      </c>
    </row>
    <row r="118" spans="1:13" ht="28.9">
      <c r="A118" s="42" t="s">
        <v>248</v>
      </c>
      <c r="B118" s="44" t="s">
        <v>237</v>
      </c>
      <c r="C118" s="10" t="s">
        <v>249</v>
      </c>
      <c r="D118" s="77">
        <v>0</v>
      </c>
      <c r="E118" s="77">
        <v>0</v>
      </c>
      <c r="F118" s="77">
        <f>(YardHostler[[#This Row],[Level of Effort (Minutes) ]]*YardHostler[[#This Row],[Frequency (Days in a Year)]])/60</f>
        <v>0</v>
      </c>
      <c r="G118" s="77">
        <f>YardHostler[[#This Row],[Effective Annual Hours]]/260</f>
        <v>0</v>
      </c>
      <c r="H118" s="101">
        <f>IFERROR(YardHostler[[#This Row],[Effective Annual Hours]]/YardHostler[[#Totals],[Effective Annual Hours]],0)</f>
        <v>0</v>
      </c>
      <c r="I118" s="78" t="s">
        <v>77</v>
      </c>
      <c r="J118" s="66">
        <v>50</v>
      </c>
      <c r="K118" s="66">
        <v>260</v>
      </c>
      <c r="L118" s="97">
        <f>(YardHostler[[#This Row],[1a: Level of Effort (Minutes)]]*YardHostler[[#This Row],[1a: Frequency (Days in a Year)]])/60</f>
        <v>216.66666666666666</v>
      </c>
      <c r="M118" s="101">
        <f>IFERROR((YardHostler[[#This Row],[1a: Effective Annual Hours]]-YardHostler[[#This Row],[Effective Annual Hours]])/YardHostler[[#This Row],[Effective Annual Hours]],0)</f>
        <v>0</v>
      </c>
    </row>
    <row r="119" spans="1:13" ht="18">
      <c r="A119" s="142" t="s">
        <v>39</v>
      </c>
      <c r="B119" s="143"/>
      <c r="C119" s="143"/>
      <c r="D119" s="143">
        <f>SUBTOTAL(109,YardHostler[Level of Effort (Minutes) ])</f>
        <v>0</v>
      </c>
      <c r="E119" s="143"/>
      <c r="F119" s="144">
        <f>SUBTOTAL(109,YardHostler[Effective Annual Hours])</f>
        <v>0</v>
      </c>
      <c r="G119" s="144">
        <f>SUBTOTAL(109,YardHostler[Effective Daily Hours])</f>
        <v>0</v>
      </c>
      <c r="H119" s="145"/>
      <c r="I119" s="145"/>
      <c r="J119" s="145">
        <f>SUBTOTAL(109,YardHostler[1a: Level of Effort (Minutes)])</f>
        <v>480</v>
      </c>
      <c r="K119" s="145"/>
      <c r="L119" s="146">
        <f>SUBTOTAL(109,YardHostler[1a: Effective Annual Hours])</f>
        <v>2080</v>
      </c>
      <c r="M119" s="147">
        <f>IFERROR((YardHostler[[#Totals],[1a: Effective Annual Hours]]-YardHostler[[#Totals],[Effective Annual Hours]])/YardHostler[[#Totals],[Effective Annual Hours]],0)</f>
        <v>0</v>
      </c>
    </row>
    <row r="120" spans="1:13" ht="71.45" customHeight="1"/>
  </sheetData>
  <mergeCells count="13">
    <mergeCell ref="J113:M113"/>
    <mergeCell ref="J31:M31"/>
    <mergeCell ref="T2:U2"/>
    <mergeCell ref="J1:M1"/>
    <mergeCell ref="J45:M45"/>
    <mergeCell ref="J14:M14"/>
    <mergeCell ref="J22:M22"/>
    <mergeCell ref="J104:M104"/>
    <mergeCell ref="J59:M59"/>
    <mergeCell ref="J72:M72"/>
    <mergeCell ref="J78:M78"/>
    <mergeCell ref="J86:M86"/>
    <mergeCell ref="J92:M92"/>
  </mergeCells>
  <phoneticPr fontId="14" type="noConversion"/>
  <pageMargins left="0.7" right="0.7" top="0.75" bottom="0.75" header="0.3" footer="0.3"/>
  <pageSetup orientation="portrait" horizontalDpi="300" verticalDpi="300" r:id="rId1"/>
  <legacyDrawing r:id="rId2"/>
  <tableParts count="12">
    <tablePart r:id="rId3"/>
    <tablePart r:id="rId4"/>
    <tablePart r:id="rId5"/>
    <tablePart r:id="rId6"/>
    <tablePart r:id="rId7"/>
    <tablePart r:id="rId8"/>
    <tablePart r:id="rId9"/>
    <tablePart r:id="rId10"/>
    <tablePart r:id="rId11"/>
    <tablePart r:id="rId12"/>
    <tablePart r:id="rId13"/>
    <tablePart r:id="rId14"/>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0B5812-0451-46A5-A510-487C5BE00124}">
  <dimension ref="A1:K169"/>
  <sheetViews>
    <sheetView workbookViewId="0"/>
  </sheetViews>
  <sheetFormatPr defaultRowHeight="16.5" customHeight="1"/>
  <cols>
    <col min="1" max="1" width="8.7109375" customWidth="1"/>
    <col min="2" max="2" width="13.28515625" customWidth="1"/>
    <col min="3" max="3" width="23.5703125" customWidth="1"/>
    <col min="4" max="4" width="40" customWidth="1"/>
    <col min="5" max="5" width="3.85546875" hidden="1" customWidth="1"/>
    <col min="6" max="6" width="17" customWidth="1"/>
    <col min="7" max="7" width="8" bestFit="1" customWidth="1"/>
    <col min="8" max="9" width="13.85546875" bestFit="1" customWidth="1"/>
    <col min="10" max="10" width="18" bestFit="1" customWidth="1"/>
    <col min="11" max="11" width="33.5703125" customWidth="1"/>
    <col min="12" max="12" width="22.28515625" customWidth="1"/>
    <col min="13" max="13" width="72.5703125" customWidth="1"/>
  </cols>
  <sheetData>
    <row r="1" spans="1:11" ht="16.5" customHeight="1">
      <c r="A1" s="10" t="s">
        <v>250</v>
      </c>
      <c r="B1" s="10" t="s">
        <v>251</v>
      </c>
      <c r="C1" s="10" t="s">
        <v>252</v>
      </c>
      <c r="D1" s="10" t="s">
        <v>253</v>
      </c>
      <c r="E1" s="10" t="s">
        <v>254</v>
      </c>
      <c r="F1" s="10" t="s">
        <v>255</v>
      </c>
      <c r="G1" s="10" t="s">
        <v>256</v>
      </c>
      <c r="H1" s="10" t="s">
        <v>257</v>
      </c>
      <c r="I1" s="10" t="s">
        <v>14</v>
      </c>
      <c r="J1" s="10" t="s">
        <v>258</v>
      </c>
      <c r="K1" s="10" t="s">
        <v>259</v>
      </c>
    </row>
    <row r="2" spans="1:11" ht="16.350000000000001" customHeight="1">
      <c r="A2" s="10">
        <v>1</v>
      </c>
      <c r="B2" s="10">
        <v>1</v>
      </c>
      <c r="C2" s="10" t="s">
        <v>15</v>
      </c>
      <c r="D2" s="10" t="s">
        <v>260</v>
      </c>
      <c r="E2" s="10" t="s">
        <v>261</v>
      </c>
      <c r="F2" s="10" t="s">
        <v>262</v>
      </c>
      <c r="G2" s="10">
        <v>1</v>
      </c>
      <c r="H2" s="10">
        <v>1</v>
      </c>
      <c r="I2" s="10">
        <v>1</v>
      </c>
      <c r="J2" s="8"/>
      <c r="K2" s="10"/>
    </row>
    <row r="3" spans="1:11" ht="16.350000000000001" customHeight="1">
      <c r="A3">
        <v>1</v>
      </c>
      <c r="B3" s="15">
        <v>1.1000000000000001</v>
      </c>
      <c r="C3" t="s">
        <v>263</v>
      </c>
      <c r="D3" s="10" t="s">
        <v>264</v>
      </c>
      <c r="E3" s="10" t="s">
        <v>265</v>
      </c>
      <c r="F3" s="10" t="s">
        <v>262</v>
      </c>
      <c r="G3" s="10">
        <v>1</v>
      </c>
      <c r="H3" s="10">
        <v>1</v>
      </c>
      <c r="I3" s="10">
        <v>1</v>
      </c>
      <c r="J3" s="8"/>
      <c r="K3" s="10"/>
    </row>
    <row r="4" spans="1:11" ht="16.350000000000001" customHeight="1">
      <c r="A4">
        <v>1</v>
      </c>
      <c r="B4" s="15">
        <v>1.2</v>
      </c>
      <c r="C4" t="s">
        <v>263</v>
      </c>
      <c r="D4" s="10" t="s">
        <v>266</v>
      </c>
      <c r="E4" s="10" t="s">
        <v>267</v>
      </c>
      <c r="F4" s="10" t="s">
        <v>268</v>
      </c>
      <c r="G4" s="10">
        <v>1</v>
      </c>
      <c r="H4" s="10">
        <v>1</v>
      </c>
      <c r="I4" s="10">
        <v>1</v>
      </c>
      <c r="J4" s="8"/>
      <c r="K4" s="10"/>
    </row>
    <row r="5" spans="1:11" ht="16.350000000000001" customHeight="1">
      <c r="A5">
        <v>1</v>
      </c>
      <c r="B5" s="15" t="s">
        <v>269</v>
      </c>
      <c r="C5" t="s">
        <v>270</v>
      </c>
      <c r="D5" s="10" t="s">
        <v>271</v>
      </c>
      <c r="E5" s="10" t="s">
        <v>272</v>
      </c>
      <c r="F5" s="10" t="s">
        <v>48</v>
      </c>
      <c r="G5" s="9"/>
      <c r="H5" s="9"/>
      <c r="I5" s="9"/>
      <c r="J5" s="16">
        <f>'Position Task List'!M3</f>
        <v>0</v>
      </c>
      <c r="K5" s="10" t="s">
        <v>273</v>
      </c>
    </row>
    <row r="6" spans="1:11" ht="16.350000000000001" customHeight="1">
      <c r="A6">
        <v>1</v>
      </c>
      <c r="B6" s="15" t="s">
        <v>274</v>
      </c>
      <c r="C6" t="s">
        <v>270</v>
      </c>
      <c r="D6" s="10" t="s">
        <v>275</v>
      </c>
      <c r="E6" s="10" t="s">
        <v>276</v>
      </c>
      <c r="F6" s="10" t="s">
        <v>48</v>
      </c>
      <c r="G6" s="9"/>
      <c r="H6" s="9"/>
      <c r="I6" s="9"/>
      <c r="J6" s="16">
        <f>'Position Task List'!M5</f>
        <v>-0.60000000000000009</v>
      </c>
      <c r="K6" s="10"/>
    </row>
    <row r="7" spans="1:11" ht="16.350000000000001" customHeight="1">
      <c r="A7">
        <v>1</v>
      </c>
      <c r="B7" s="15" t="s">
        <v>277</v>
      </c>
      <c r="C7" t="s">
        <v>270</v>
      </c>
      <c r="D7" s="10" t="s">
        <v>278</v>
      </c>
      <c r="E7" s="10" t="s">
        <v>279</v>
      </c>
      <c r="F7" s="10" t="s">
        <v>48</v>
      </c>
      <c r="G7" s="9"/>
      <c r="H7" s="9"/>
      <c r="I7" s="9"/>
      <c r="J7" s="16">
        <f>'Position Task List'!M6</f>
        <v>0</v>
      </c>
      <c r="K7" s="10"/>
    </row>
    <row r="8" spans="1:11" ht="16.350000000000001" customHeight="1">
      <c r="A8">
        <v>1</v>
      </c>
      <c r="B8" s="15" t="s">
        <v>280</v>
      </c>
      <c r="C8" t="s">
        <v>270</v>
      </c>
      <c r="D8" s="10" t="s">
        <v>281</v>
      </c>
      <c r="E8" s="10" t="s">
        <v>282</v>
      </c>
      <c r="F8" s="10" t="s">
        <v>48</v>
      </c>
      <c r="G8" s="9"/>
      <c r="H8" s="9"/>
      <c r="I8" s="9"/>
      <c r="J8" s="16">
        <f>'Position Task List'!M8</f>
        <v>1.5765765765765726E-2</v>
      </c>
      <c r="K8" s="10"/>
    </row>
    <row r="9" spans="1:11" ht="16.350000000000001" customHeight="1">
      <c r="A9">
        <v>1</v>
      </c>
      <c r="B9" s="15" t="s">
        <v>283</v>
      </c>
      <c r="C9" t="s">
        <v>270</v>
      </c>
      <c r="D9" s="10" t="s">
        <v>284</v>
      </c>
      <c r="E9" s="10" t="s">
        <v>285</v>
      </c>
      <c r="F9" s="10" t="s">
        <v>48</v>
      </c>
      <c r="G9" s="9"/>
      <c r="H9" s="9"/>
      <c r="I9" s="9"/>
      <c r="J9" s="16">
        <f>'Position Task List'!M9</f>
        <v>0</v>
      </c>
      <c r="K9" s="10"/>
    </row>
    <row r="10" spans="1:11" ht="16.350000000000001" customHeight="1">
      <c r="A10">
        <v>1</v>
      </c>
      <c r="B10" s="15" t="s">
        <v>286</v>
      </c>
      <c r="C10" t="s">
        <v>270</v>
      </c>
      <c r="D10" s="10" t="s">
        <v>287</v>
      </c>
      <c r="E10" s="10" t="s">
        <v>288</v>
      </c>
      <c r="F10" s="10" t="s">
        <v>48</v>
      </c>
      <c r="G10" s="9"/>
      <c r="H10" s="9"/>
      <c r="I10" s="9"/>
      <c r="J10" s="16">
        <f>'Position Task List'!M10</f>
        <v>0</v>
      </c>
      <c r="K10" s="10"/>
    </row>
    <row r="11" spans="1:11" ht="14.45">
      <c r="A11">
        <v>1</v>
      </c>
      <c r="B11" s="15" t="s">
        <v>289</v>
      </c>
      <c r="C11" t="s">
        <v>270</v>
      </c>
      <c r="D11" s="10" t="s">
        <v>290</v>
      </c>
      <c r="E11" s="10"/>
      <c r="F11" s="10" t="s">
        <v>48</v>
      </c>
      <c r="G11" s="9"/>
      <c r="H11" s="9"/>
      <c r="I11" s="9"/>
      <c r="J11" s="16">
        <f>'Position Task List'!M16</f>
        <v>0</v>
      </c>
      <c r="K11" s="10" t="s">
        <v>291</v>
      </c>
    </row>
    <row r="12" spans="1:11" ht="14.45">
      <c r="A12">
        <v>1</v>
      </c>
      <c r="B12" s="15" t="s">
        <v>292</v>
      </c>
      <c r="C12" t="s">
        <v>270</v>
      </c>
      <c r="D12" s="10" t="s">
        <v>293</v>
      </c>
      <c r="E12" s="10"/>
      <c r="F12" s="10" t="s">
        <v>48</v>
      </c>
      <c r="G12" s="9"/>
      <c r="H12" s="9"/>
      <c r="I12" s="9"/>
      <c r="J12" s="16">
        <f>'Position Task List'!M17</f>
        <v>0.10000000000000014</v>
      </c>
      <c r="K12" s="10"/>
    </row>
    <row r="13" spans="1:11" ht="14.45">
      <c r="A13">
        <v>1</v>
      </c>
      <c r="B13" s="15" t="s">
        <v>294</v>
      </c>
      <c r="C13" t="s">
        <v>270</v>
      </c>
      <c r="D13" s="10" t="s">
        <v>295</v>
      </c>
      <c r="E13" s="10"/>
      <c r="F13" s="10" t="s">
        <v>48</v>
      </c>
      <c r="G13" s="9"/>
      <c r="H13" s="9"/>
      <c r="I13" s="9"/>
      <c r="J13" s="16" t="e">
        <f>'Position Task List'!#REF!</f>
        <v>#REF!</v>
      </c>
      <c r="K13" s="10"/>
    </row>
    <row r="14" spans="1:11" ht="14.45">
      <c r="A14">
        <v>1</v>
      </c>
      <c r="B14" s="15" t="s">
        <v>296</v>
      </c>
      <c r="C14" t="s">
        <v>270</v>
      </c>
      <c r="D14" s="10" t="s">
        <v>297</v>
      </c>
      <c r="E14" s="10"/>
      <c r="F14" s="10" t="s">
        <v>48</v>
      </c>
      <c r="G14" s="9"/>
      <c r="H14" s="9"/>
      <c r="I14" s="9"/>
      <c r="J14" s="16" t="e">
        <f>'Position Task List'!#REF!</f>
        <v>#REF!</v>
      </c>
      <c r="K14" s="10"/>
    </row>
    <row r="15" spans="1:11" ht="14.45">
      <c r="A15">
        <v>1</v>
      </c>
      <c r="B15" s="15" t="s">
        <v>298</v>
      </c>
      <c r="C15" t="s">
        <v>270</v>
      </c>
      <c r="D15" s="10" t="s">
        <v>299</v>
      </c>
      <c r="E15" s="10"/>
      <c r="F15" s="10" t="s">
        <v>48</v>
      </c>
      <c r="G15" s="9"/>
      <c r="H15" s="9"/>
      <c r="I15" s="9"/>
      <c r="J15" s="16" t="e">
        <f>'Position Task List'!#REF!</f>
        <v>#REF!</v>
      </c>
      <c r="K15" s="10"/>
    </row>
    <row r="16" spans="1:11" ht="14.45">
      <c r="B16" s="15" t="s">
        <v>300</v>
      </c>
      <c r="C16" t="s">
        <v>270</v>
      </c>
      <c r="D16" s="10" t="s">
        <v>301</v>
      </c>
      <c r="E16" s="10"/>
      <c r="F16" s="10" t="s">
        <v>48</v>
      </c>
      <c r="G16" s="9"/>
      <c r="H16" s="9"/>
      <c r="I16" s="9"/>
      <c r="J16" s="16" t="e">
        <f>'Position Task List'!#REF!</f>
        <v>#REF!</v>
      </c>
      <c r="K16" s="10"/>
    </row>
    <row r="17" spans="1:11" ht="14.45">
      <c r="A17">
        <v>1</v>
      </c>
      <c r="B17" s="15" t="s">
        <v>302</v>
      </c>
      <c r="C17" t="s">
        <v>270</v>
      </c>
      <c r="D17" s="10" t="s">
        <v>303</v>
      </c>
      <c r="E17" s="10"/>
      <c r="F17" s="10" t="s">
        <v>48</v>
      </c>
      <c r="G17" s="9"/>
      <c r="H17" s="9"/>
      <c r="I17" s="9"/>
      <c r="J17" s="16">
        <f>'Position Task List'!M33</f>
        <v>-1</v>
      </c>
      <c r="K17" s="10" t="s">
        <v>304</v>
      </c>
    </row>
    <row r="18" spans="1:11" ht="14.45">
      <c r="A18">
        <v>1</v>
      </c>
      <c r="B18" s="15" t="s">
        <v>305</v>
      </c>
      <c r="C18" t="s">
        <v>270</v>
      </c>
      <c r="D18" s="10" t="s">
        <v>306</v>
      </c>
      <c r="E18" s="10"/>
      <c r="F18" s="10" t="s">
        <v>48</v>
      </c>
      <c r="G18" s="9"/>
      <c r="H18" s="9"/>
      <c r="I18" s="9"/>
      <c r="J18" s="16">
        <f>'Position Task List'!M34</f>
        <v>-1</v>
      </c>
      <c r="K18" s="10" t="s">
        <v>304</v>
      </c>
    </row>
    <row r="19" spans="1:11" ht="14.45">
      <c r="A19">
        <v>1</v>
      </c>
      <c r="B19" s="15" t="s">
        <v>307</v>
      </c>
      <c r="C19" t="s">
        <v>270</v>
      </c>
      <c r="D19" s="10" t="s">
        <v>308</v>
      </c>
      <c r="E19" s="10"/>
      <c r="F19" s="10" t="s">
        <v>48</v>
      </c>
      <c r="G19" s="9"/>
      <c r="H19" s="9"/>
      <c r="I19" s="9"/>
      <c r="J19" s="16">
        <f>'Position Task List'!M35</f>
        <v>-0.5</v>
      </c>
      <c r="K19" s="10"/>
    </row>
    <row r="20" spans="1:11" ht="14.45">
      <c r="A20">
        <v>1</v>
      </c>
      <c r="B20" s="15" t="s">
        <v>309</v>
      </c>
      <c r="C20" t="s">
        <v>270</v>
      </c>
      <c r="D20" s="10" t="s">
        <v>310</v>
      </c>
      <c r="E20" s="10"/>
      <c r="F20" s="10" t="s">
        <v>48</v>
      </c>
      <c r="G20" s="9"/>
      <c r="H20" s="9"/>
      <c r="I20" s="9"/>
      <c r="J20" s="16">
        <f>'Position Task List'!M36</f>
        <v>-1</v>
      </c>
      <c r="K20" s="10"/>
    </row>
    <row r="21" spans="1:11" ht="14.45">
      <c r="A21">
        <v>1</v>
      </c>
      <c r="B21" s="15" t="s">
        <v>311</v>
      </c>
      <c r="C21" t="s">
        <v>270</v>
      </c>
      <c r="D21" s="10" t="s">
        <v>312</v>
      </c>
      <c r="E21" s="10"/>
      <c r="F21" s="10" t="s">
        <v>48</v>
      </c>
      <c r="G21" s="9"/>
      <c r="H21" s="9"/>
      <c r="I21" s="9"/>
      <c r="J21" s="16">
        <f>'Position Task List'!M37</f>
        <v>-1</v>
      </c>
      <c r="K21" s="10"/>
    </row>
    <row r="22" spans="1:11" ht="14.45">
      <c r="A22">
        <v>1</v>
      </c>
      <c r="B22" s="15" t="s">
        <v>313</v>
      </c>
      <c r="C22" t="s">
        <v>270</v>
      </c>
      <c r="D22" s="10" t="s">
        <v>314</v>
      </c>
      <c r="E22" s="10"/>
      <c r="F22" s="10" t="s">
        <v>48</v>
      </c>
      <c r="G22" s="9"/>
      <c r="H22" s="9"/>
      <c r="I22" s="9"/>
      <c r="J22" s="16">
        <f>'Position Task List'!M39</f>
        <v>0</v>
      </c>
      <c r="K22" s="10"/>
    </row>
    <row r="23" spans="1:11" ht="14.45">
      <c r="A23">
        <v>1</v>
      </c>
      <c r="B23" s="15" t="s">
        <v>315</v>
      </c>
      <c r="C23" t="s">
        <v>270</v>
      </c>
      <c r="D23" s="10" t="s">
        <v>316</v>
      </c>
      <c r="E23" s="10"/>
      <c r="F23" s="10" t="s">
        <v>48</v>
      </c>
      <c r="G23" s="9"/>
      <c r="H23" s="9"/>
      <c r="I23" s="9"/>
      <c r="J23" s="16">
        <f>'Position Task List'!M52</f>
        <v>-1</v>
      </c>
      <c r="K23" s="10" t="s">
        <v>317</v>
      </c>
    </row>
    <row r="24" spans="1:11" ht="14.45">
      <c r="A24">
        <v>1</v>
      </c>
      <c r="B24" s="15" t="s">
        <v>318</v>
      </c>
      <c r="C24" t="s">
        <v>270</v>
      </c>
      <c r="D24" s="10" t="s">
        <v>319</v>
      </c>
      <c r="E24" s="10"/>
      <c r="F24" s="10" t="s">
        <v>48</v>
      </c>
      <c r="G24" s="9"/>
      <c r="H24" s="9"/>
      <c r="I24" s="9"/>
      <c r="J24" s="16">
        <f>'Position Task List'!M53</f>
        <v>-1</v>
      </c>
      <c r="K24" s="10"/>
    </row>
    <row r="25" spans="1:11" ht="14.45">
      <c r="A25">
        <v>1</v>
      </c>
      <c r="B25" s="15" t="s">
        <v>320</v>
      </c>
      <c r="C25" t="s">
        <v>270</v>
      </c>
      <c r="D25" s="10" t="s">
        <v>321</v>
      </c>
      <c r="E25" s="10"/>
      <c r="F25" s="10" t="s">
        <v>48</v>
      </c>
      <c r="G25" s="9"/>
      <c r="H25" s="9"/>
      <c r="I25" s="9"/>
      <c r="J25" s="16">
        <f>'Position Task List'!M54</f>
        <v>0</v>
      </c>
      <c r="K25" s="10"/>
    </row>
    <row r="26" spans="1:11" ht="14.45">
      <c r="A26">
        <v>1</v>
      </c>
      <c r="B26" s="15" t="s">
        <v>322</v>
      </c>
      <c r="C26" t="s">
        <v>270</v>
      </c>
      <c r="D26" s="10" t="s">
        <v>323</v>
      </c>
      <c r="E26" s="10"/>
      <c r="F26" s="10" t="s">
        <v>48</v>
      </c>
      <c r="G26" s="9"/>
      <c r="H26" s="9"/>
      <c r="I26" s="9"/>
      <c r="J26" s="16" t="e">
        <f>'Position Task List'!#REF!</f>
        <v>#REF!</v>
      </c>
      <c r="K26" s="10"/>
    </row>
    <row r="27" spans="1:11" ht="14.45">
      <c r="A27">
        <v>1</v>
      </c>
      <c r="B27" s="15" t="s">
        <v>324</v>
      </c>
      <c r="C27" t="s">
        <v>270</v>
      </c>
      <c r="D27" s="10" t="s">
        <v>325</v>
      </c>
      <c r="E27" s="10"/>
      <c r="F27" s="10" t="s">
        <v>48</v>
      </c>
      <c r="G27" s="9"/>
      <c r="H27" s="9"/>
      <c r="I27" s="9"/>
      <c r="J27" s="16" t="e">
        <f>'Position Task List'!#REF!</f>
        <v>#REF!</v>
      </c>
      <c r="K27" s="10"/>
    </row>
    <row r="28" spans="1:11" ht="14.45">
      <c r="A28">
        <v>1</v>
      </c>
      <c r="B28" s="15" t="s">
        <v>326</v>
      </c>
      <c r="C28" t="s">
        <v>270</v>
      </c>
      <c r="D28" s="10" t="s">
        <v>327</v>
      </c>
      <c r="E28" s="10"/>
      <c r="F28" s="10" t="s">
        <v>48</v>
      </c>
      <c r="G28" s="9"/>
      <c r="H28" s="9"/>
      <c r="I28" s="9"/>
      <c r="J28" s="16" t="e">
        <f>'Position Task List'!#REF!</f>
        <v>#REF!</v>
      </c>
      <c r="K28" s="10"/>
    </row>
    <row r="29" spans="1:11" ht="14.45">
      <c r="A29">
        <v>1</v>
      </c>
      <c r="B29" s="15" t="s">
        <v>328</v>
      </c>
      <c r="C29" t="s">
        <v>270</v>
      </c>
      <c r="D29" s="10" t="s">
        <v>329</v>
      </c>
      <c r="E29" s="10"/>
      <c r="F29" s="10" t="s">
        <v>48</v>
      </c>
      <c r="G29" s="9"/>
      <c r="H29" s="9"/>
      <c r="I29" s="9"/>
      <c r="J29" s="16" t="e">
        <f>'Position Task List'!#REF!</f>
        <v>#REF!</v>
      </c>
      <c r="K29" s="10" t="s">
        <v>317</v>
      </c>
    </row>
    <row r="30" spans="1:11" ht="14.45">
      <c r="A30">
        <v>1</v>
      </c>
      <c r="B30" s="15" t="s">
        <v>330</v>
      </c>
      <c r="C30" t="s">
        <v>270</v>
      </c>
      <c r="D30" s="10" t="s">
        <v>331</v>
      </c>
      <c r="E30" s="10"/>
      <c r="F30" s="10" t="s">
        <v>48</v>
      </c>
      <c r="G30" s="9"/>
      <c r="H30" s="9"/>
      <c r="I30" s="9"/>
      <c r="J30" s="16" t="e">
        <f>'Position Task List'!#REF!</f>
        <v>#REF!</v>
      </c>
      <c r="K30" s="10"/>
    </row>
    <row r="31" spans="1:11" ht="14.45">
      <c r="A31">
        <v>1</v>
      </c>
      <c r="B31" s="15" t="s">
        <v>332</v>
      </c>
      <c r="C31" t="s">
        <v>270</v>
      </c>
      <c r="D31" s="10" t="s">
        <v>333</v>
      </c>
      <c r="E31" s="10"/>
      <c r="F31" s="10" t="s">
        <v>48</v>
      </c>
      <c r="G31" s="9"/>
      <c r="H31" s="9"/>
      <c r="I31" s="9"/>
      <c r="J31" s="16" t="e">
        <f>'Position Task List'!#REF!</f>
        <v>#REF!</v>
      </c>
      <c r="K31" s="10"/>
    </row>
    <row r="32" spans="1:11" ht="14.45">
      <c r="A32">
        <v>1</v>
      </c>
      <c r="B32" s="15" t="s">
        <v>334</v>
      </c>
      <c r="C32" t="s">
        <v>270</v>
      </c>
      <c r="D32" s="10" t="s">
        <v>335</v>
      </c>
      <c r="E32" s="10"/>
      <c r="F32" s="10" t="s">
        <v>48</v>
      </c>
      <c r="G32" s="9"/>
      <c r="H32" s="9"/>
      <c r="I32" s="9"/>
      <c r="J32" s="16" t="e">
        <f>'Position Task List'!#REF!</f>
        <v>#REF!</v>
      </c>
      <c r="K32" s="10"/>
    </row>
    <row r="33" spans="1:11" ht="14.45">
      <c r="A33">
        <v>1</v>
      </c>
      <c r="B33" s="15" t="s">
        <v>336</v>
      </c>
      <c r="C33" t="s">
        <v>270</v>
      </c>
      <c r="D33" s="10" t="s">
        <v>337</v>
      </c>
      <c r="E33" s="10"/>
      <c r="F33" s="10" t="s">
        <v>48</v>
      </c>
      <c r="G33" s="9"/>
      <c r="H33" s="9"/>
      <c r="I33" s="9"/>
      <c r="J33" s="16" t="e">
        <f>'Position Task List'!#REF!</f>
        <v>#REF!</v>
      </c>
      <c r="K33" s="10"/>
    </row>
    <row r="34" spans="1:11" ht="14.45">
      <c r="A34">
        <v>1</v>
      </c>
      <c r="B34" s="15" t="s">
        <v>338</v>
      </c>
      <c r="C34" t="s">
        <v>270</v>
      </c>
      <c r="D34" s="10" t="s">
        <v>339</v>
      </c>
      <c r="E34" s="10"/>
      <c r="F34" s="10" t="s">
        <v>48</v>
      </c>
      <c r="G34" s="9"/>
      <c r="H34" s="9"/>
      <c r="I34" s="9"/>
      <c r="J34" s="16" t="e">
        <f>'Position Task List'!#REF!</f>
        <v>#REF!</v>
      </c>
      <c r="K34" s="10"/>
    </row>
    <row r="35" spans="1:11" ht="19.899999999999999" customHeight="1">
      <c r="A35">
        <v>2</v>
      </c>
      <c r="B35" s="15">
        <v>2</v>
      </c>
      <c r="C35" t="s">
        <v>15</v>
      </c>
      <c r="D35" s="10" t="s">
        <v>260</v>
      </c>
      <c r="E35" s="10" t="s">
        <v>340</v>
      </c>
      <c r="F35" s="10" t="s">
        <v>48</v>
      </c>
      <c r="G35" s="10">
        <v>0</v>
      </c>
      <c r="H35" s="10">
        <v>0.5</v>
      </c>
      <c r="I35" s="10">
        <v>0.75</v>
      </c>
      <c r="J35" s="9"/>
      <c r="K35" s="10"/>
    </row>
    <row r="36" spans="1:11" ht="19.899999999999999" customHeight="1">
      <c r="A36">
        <v>2</v>
      </c>
      <c r="B36" s="15">
        <v>2.1</v>
      </c>
      <c r="C36" t="s">
        <v>263</v>
      </c>
      <c r="D36" s="10" t="s">
        <v>264</v>
      </c>
      <c r="E36" s="10" t="s">
        <v>341</v>
      </c>
      <c r="F36" s="10" t="s">
        <v>48</v>
      </c>
      <c r="G36" s="10">
        <v>0</v>
      </c>
      <c r="H36" s="10">
        <v>1</v>
      </c>
      <c r="I36" s="10">
        <v>1</v>
      </c>
      <c r="J36" s="9"/>
      <c r="K36" s="10"/>
    </row>
    <row r="37" spans="1:11" ht="19.899999999999999" customHeight="1">
      <c r="A37">
        <v>2</v>
      </c>
      <c r="B37" s="15" t="s">
        <v>342</v>
      </c>
      <c r="C37" s="10" t="s">
        <v>16</v>
      </c>
      <c r="D37" s="10" t="s">
        <v>343</v>
      </c>
      <c r="E37" s="10" t="s">
        <v>344</v>
      </c>
      <c r="F37" s="10" t="s">
        <v>48</v>
      </c>
      <c r="G37" s="10">
        <v>0</v>
      </c>
      <c r="H37" s="10">
        <v>0.05</v>
      </c>
      <c r="I37" s="10">
        <v>0.05</v>
      </c>
      <c r="J37" s="9"/>
      <c r="K37" s="10"/>
    </row>
    <row r="38" spans="1:11" ht="19.899999999999999" customHeight="1">
      <c r="A38">
        <v>2</v>
      </c>
      <c r="B38" s="15" t="s">
        <v>345</v>
      </c>
      <c r="C38" s="10" t="s">
        <v>16</v>
      </c>
      <c r="D38" s="10" t="s">
        <v>346</v>
      </c>
      <c r="E38" s="10" t="s">
        <v>347</v>
      </c>
      <c r="F38" s="10" t="s">
        <v>48</v>
      </c>
      <c r="G38" s="10">
        <v>0</v>
      </c>
      <c r="H38" s="10">
        <v>1</v>
      </c>
      <c r="I38" s="10">
        <v>1</v>
      </c>
      <c r="J38" s="9"/>
      <c r="K38" s="10"/>
    </row>
    <row r="39" spans="1:11" ht="19.899999999999999" customHeight="1">
      <c r="A39">
        <v>2</v>
      </c>
      <c r="B39" s="15" t="s">
        <v>348</v>
      </c>
      <c r="C39" s="10" t="s">
        <v>270</v>
      </c>
      <c r="D39" s="10"/>
      <c r="E39" s="10"/>
      <c r="F39" s="10" t="s">
        <v>48</v>
      </c>
      <c r="G39" s="9"/>
      <c r="H39" s="9"/>
      <c r="I39" s="9"/>
      <c r="J39" s="16" t="e">
        <f>'Position Task List'!#REF!</f>
        <v>#REF!</v>
      </c>
      <c r="K39" s="10" t="s">
        <v>349</v>
      </c>
    </row>
    <row r="40" spans="1:11" ht="14.45">
      <c r="A40">
        <v>2</v>
      </c>
      <c r="B40" s="15" t="s">
        <v>350</v>
      </c>
      <c r="C40" s="10" t="s">
        <v>270</v>
      </c>
      <c r="D40" s="10"/>
      <c r="E40" s="10"/>
      <c r="F40" s="10" t="s">
        <v>48</v>
      </c>
      <c r="G40" s="9"/>
      <c r="H40" s="9"/>
      <c r="I40" s="9"/>
      <c r="J40" s="16" t="e">
        <f>'Position Task List'!#REF!</f>
        <v>#REF!</v>
      </c>
      <c r="K40" s="10"/>
    </row>
    <row r="41" spans="1:11" ht="14.45">
      <c r="A41">
        <v>2</v>
      </c>
      <c r="B41" s="15" t="s">
        <v>351</v>
      </c>
      <c r="C41" s="10" t="s">
        <v>270</v>
      </c>
      <c r="D41" s="10"/>
      <c r="E41" s="10"/>
      <c r="F41" s="10" t="s">
        <v>48</v>
      </c>
      <c r="G41" s="9"/>
      <c r="H41" s="9"/>
      <c r="I41" s="9"/>
      <c r="J41" s="16" t="e">
        <f>'Position Task List'!#REF!</f>
        <v>#REF!</v>
      </c>
      <c r="K41" s="10"/>
    </row>
    <row r="42" spans="1:11" ht="14.45">
      <c r="A42">
        <v>2</v>
      </c>
      <c r="B42" s="15" t="s">
        <v>352</v>
      </c>
      <c r="C42" s="10" t="s">
        <v>270</v>
      </c>
      <c r="D42" s="10"/>
      <c r="E42" s="10"/>
      <c r="F42" s="10" t="s">
        <v>48</v>
      </c>
      <c r="G42" s="9"/>
      <c r="H42" s="9"/>
      <c r="I42" s="9"/>
      <c r="J42" s="16" t="e">
        <f>'Position Task List'!#REF!</f>
        <v>#REF!</v>
      </c>
      <c r="K42" s="10"/>
    </row>
    <row r="43" spans="1:11" ht="14.45">
      <c r="A43">
        <v>2</v>
      </c>
      <c r="B43" s="15" t="s">
        <v>353</v>
      </c>
      <c r="C43" s="10" t="s">
        <v>270</v>
      </c>
      <c r="D43" s="10"/>
      <c r="E43" s="10"/>
      <c r="F43" s="10" t="s">
        <v>48</v>
      </c>
      <c r="G43" s="9"/>
      <c r="H43" s="9"/>
      <c r="I43" s="9"/>
      <c r="J43" s="16" t="e">
        <f>'Position Task List'!#REF!</f>
        <v>#REF!</v>
      </c>
      <c r="K43" s="10"/>
    </row>
    <row r="44" spans="1:11" ht="14.45">
      <c r="A44">
        <v>2</v>
      </c>
      <c r="B44" s="15" t="s">
        <v>354</v>
      </c>
      <c r="C44" s="10" t="s">
        <v>270</v>
      </c>
      <c r="D44" s="10"/>
      <c r="E44" s="10"/>
      <c r="F44" s="10" t="s">
        <v>48</v>
      </c>
      <c r="G44" s="9"/>
      <c r="H44" s="9"/>
      <c r="I44" s="9"/>
      <c r="J44" s="16" t="e">
        <f>'Position Task List'!#REF!</f>
        <v>#REF!</v>
      </c>
      <c r="K44" s="10"/>
    </row>
    <row r="45" spans="1:11" ht="14.45">
      <c r="A45">
        <v>2</v>
      </c>
      <c r="B45" s="15" t="s">
        <v>355</v>
      </c>
      <c r="C45" s="10" t="s">
        <v>270</v>
      </c>
      <c r="D45" s="10"/>
      <c r="E45" s="10"/>
      <c r="F45" s="10" t="s">
        <v>48</v>
      </c>
      <c r="G45" s="9"/>
      <c r="H45" s="9"/>
      <c r="I45" s="9"/>
      <c r="J45" s="16" t="e">
        <f>'Position Task List'!#REF!</f>
        <v>#REF!</v>
      </c>
      <c r="K45" s="10" t="s">
        <v>356</v>
      </c>
    </row>
    <row r="46" spans="1:11" ht="14.45">
      <c r="A46">
        <v>2</v>
      </c>
      <c r="B46" s="15" t="s">
        <v>357</v>
      </c>
      <c r="C46" s="10" t="s">
        <v>270</v>
      </c>
      <c r="D46" s="10"/>
      <c r="E46" s="10"/>
      <c r="F46" s="10" t="s">
        <v>48</v>
      </c>
      <c r="G46" s="9"/>
      <c r="H46" s="9"/>
      <c r="I46" s="9"/>
      <c r="J46" s="16" t="e">
        <f>'Position Task List'!#REF!</f>
        <v>#REF!</v>
      </c>
      <c r="K46" s="10"/>
    </row>
    <row r="47" spans="1:11" ht="14.45">
      <c r="A47">
        <v>2</v>
      </c>
      <c r="B47" s="15" t="s">
        <v>358</v>
      </c>
      <c r="C47" s="10" t="s">
        <v>270</v>
      </c>
      <c r="D47" s="10"/>
      <c r="E47" s="10"/>
      <c r="F47" s="10" t="s">
        <v>48</v>
      </c>
      <c r="G47" s="9"/>
      <c r="H47" s="9"/>
      <c r="I47" s="9"/>
      <c r="J47" s="16" t="e">
        <f>'Position Task List'!#REF!</f>
        <v>#REF!</v>
      </c>
      <c r="K47" s="10"/>
    </row>
    <row r="48" spans="1:11" ht="14.45">
      <c r="A48">
        <v>2</v>
      </c>
      <c r="B48" s="15" t="s">
        <v>359</v>
      </c>
      <c r="C48" s="10" t="s">
        <v>270</v>
      </c>
      <c r="D48" s="10"/>
      <c r="E48" s="10"/>
      <c r="F48" s="10" t="s">
        <v>48</v>
      </c>
      <c r="G48" s="9"/>
      <c r="H48" s="9"/>
      <c r="I48" s="9"/>
      <c r="J48" s="16" t="e">
        <f>'Position Task List'!#REF!</f>
        <v>#REF!</v>
      </c>
      <c r="K48" s="10"/>
    </row>
    <row r="49" spans="1:11" ht="14.45">
      <c r="A49">
        <v>2</v>
      </c>
      <c r="B49" s="15" t="s">
        <v>360</v>
      </c>
      <c r="C49" s="10" t="s">
        <v>270</v>
      </c>
      <c r="D49" s="10"/>
      <c r="E49" s="10"/>
      <c r="F49" s="10" t="s">
        <v>48</v>
      </c>
      <c r="G49" s="9"/>
      <c r="H49" s="9"/>
      <c r="I49" s="9"/>
      <c r="J49" s="16" t="e">
        <f>'Position Task List'!#REF!</f>
        <v>#REF!</v>
      </c>
      <c r="K49" s="10"/>
    </row>
    <row r="50" spans="1:11" ht="14.45">
      <c r="A50">
        <v>2</v>
      </c>
      <c r="B50" s="15" t="s">
        <v>361</v>
      </c>
      <c r="C50" s="10" t="s">
        <v>270</v>
      </c>
      <c r="D50" s="10"/>
      <c r="E50" s="10"/>
      <c r="F50" s="10" t="s">
        <v>48</v>
      </c>
      <c r="G50" s="9"/>
      <c r="H50" s="9"/>
      <c r="I50" s="9"/>
      <c r="J50" s="16" t="e">
        <f>'Position Task List'!#REF!</f>
        <v>#REF!</v>
      </c>
      <c r="K50" s="10"/>
    </row>
    <row r="51" spans="1:11" ht="14.45">
      <c r="A51">
        <v>2</v>
      </c>
      <c r="B51" s="15" t="s">
        <v>362</v>
      </c>
      <c r="C51" s="10" t="s">
        <v>270</v>
      </c>
      <c r="D51" s="10"/>
      <c r="E51" s="10"/>
      <c r="F51" s="10" t="s">
        <v>48</v>
      </c>
      <c r="G51" s="9"/>
      <c r="H51" s="9"/>
      <c r="I51" s="9"/>
      <c r="J51" s="16" t="e">
        <f>'Position Task List'!#REF!</f>
        <v>#REF!</v>
      </c>
      <c r="K51" s="10" t="s">
        <v>363</v>
      </c>
    </row>
    <row r="52" spans="1:11" ht="14.45">
      <c r="A52">
        <v>2</v>
      </c>
      <c r="B52" s="15" t="s">
        <v>364</v>
      </c>
      <c r="C52" s="10" t="s">
        <v>270</v>
      </c>
      <c r="D52" s="10"/>
      <c r="E52" s="10"/>
      <c r="F52" s="10" t="s">
        <v>48</v>
      </c>
      <c r="G52" s="9"/>
      <c r="H52" s="9"/>
      <c r="I52" s="9"/>
      <c r="J52" s="16" t="e">
        <f>'Position Task List'!#REF!</f>
        <v>#REF!</v>
      </c>
      <c r="K52" s="10"/>
    </row>
    <row r="53" spans="1:11" ht="14.45">
      <c r="A53">
        <v>2</v>
      </c>
      <c r="B53" s="15" t="s">
        <v>365</v>
      </c>
      <c r="C53" s="10" t="s">
        <v>270</v>
      </c>
      <c r="D53" s="10"/>
      <c r="E53" s="10"/>
      <c r="F53" s="10" t="s">
        <v>48</v>
      </c>
      <c r="G53" s="9"/>
      <c r="H53" s="9"/>
      <c r="I53" s="9"/>
      <c r="J53" s="16" t="e">
        <f>'Position Task List'!#REF!</f>
        <v>#REF!</v>
      </c>
      <c r="K53" s="10"/>
    </row>
    <row r="54" spans="1:11" ht="14.45">
      <c r="A54">
        <v>2</v>
      </c>
      <c r="B54" s="15" t="s">
        <v>366</v>
      </c>
      <c r="C54" s="10" t="s">
        <v>270</v>
      </c>
      <c r="D54" s="10"/>
      <c r="E54" s="10"/>
      <c r="F54" s="10" t="s">
        <v>48</v>
      </c>
      <c r="G54" s="9"/>
      <c r="H54" s="9"/>
      <c r="I54" s="9"/>
      <c r="J54" s="16" t="e">
        <f>'Position Task List'!#REF!</f>
        <v>#REF!</v>
      </c>
      <c r="K54" s="10"/>
    </row>
    <row r="55" spans="1:11" ht="14.45">
      <c r="A55">
        <v>2</v>
      </c>
      <c r="B55" s="15" t="s">
        <v>367</v>
      </c>
      <c r="C55" s="10" t="s">
        <v>270</v>
      </c>
      <c r="D55" s="10"/>
      <c r="E55" s="10"/>
      <c r="F55" s="10" t="s">
        <v>48</v>
      </c>
      <c r="G55" s="9"/>
      <c r="H55" s="9"/>
      <c r="I55" s="9"/>
      <c r="J55" s="16" t="e">
        <f>'Position Task List'!#REF!</f>
        <v>#REF!</v>
      </c>
      <c r="K55" s="10"/>
    </row>
    <row r="56" spans="1:11" ht="14.45">
      <c r="A56">
        <v>2</v>
      </c>
      <c r="B56" s="15" t="s">
        <v>368</v>
      </c>
      <c r="C56" s="10" t="s">
        <v>270</v>
      </c>
      <c r="D56" s="10"/>
      <c r="E56" s="10"/>
      <c r="F56" s="10" t="s">
        <v>48</v>
      </c>
      <c r="G56" s="9"/>
      <c r="H56" s="9"/>
      <c r="I56" s="9"/>
      <c r="J56" s="16" t="e">
        <f>'Position Task List'!#REF!</f>
        <v>#REF!</v>
      </c>
      <c r="K56" s="10"/>
    </row>
    <row r="57" spans="1:11" ht="28.9">
      <c r="A57">
        <v>2</v>
      </c>
      <c r="B57" s="15" t="s">
        <v>369</v>
      </c>
      <c r="C57" s="10" t="s">
        <v>270</v>
      </c>
      <c r="D57" s="10"/>
      <c r="E57" s="10"/>
      <c r="F57" s="10" t="s">
        <v>48</v>
      </c>
      <c r="G57" s="9"/>
      <c r="H57" s="9"/>
      <c r="I57" s="9"/>
      <c r="J57" s="16" t="e">
        <f>'Position Task List'!#REF!</f>
        <v>#REF!</v>
      </c>
      <c r="K57" s="10" t="s">
        <v>370</v>
      </c>
    </row>
    <row r="58" spans="1:11" ht="14.45">
      <c r="A58">
        <v>2</v>
      </c>
      <c r="B58" s="15" t="s">
        <v>371</v>
      </c>
      <c r="C58" s="10" t="s">
        <v>270</v>
      </c>
      <c r="D58" s="10"/>
      <c r="E58" s="10"/>
      <c r="F58" s="10" t="s">
        <v>48</v>
      </c>
      <c r="G58" s="9"/>
      <c r="H58" s="9"/>
      <c r="I58" s="9"/>
      <c r="J58" s="16" t="e">
        <f>'Position Task List'!#REF!</f>
        <v>#REF!</v>
      </c>
      <c r="K58" s="10"/>
    </row>
    <row r="59" spans="1:11" ht="14.45">
      <c r="A59">
        <v>2</v>
      </c>
      <c r="B59" s="15" t="s">
        <v>372</v>
      </c>
      <c r="C59" s="10" t="s">
        <v>270</v>
      </c>
      <c r="D59" s="10"/>
      <c r="E59" s="10"/>
      <c r="F59" s="10" t="s">
        <v>48</v>
      </c>
      <c r="G59" s="9"/>
      <c r="H59" s="9"/>
      <c r="I59" s="9"/>
      <c r="J59" s="16" t="e">
        <f>'Position Task List'!#REF!</f>
        <v>#REF!</v>
      </c>
      <c r="K59" s="10"/>
    </row>
    <row r="60" spans="1:11" ht="14.45">
      <c r="A60">
        <v>2</v>
      </c>
      <c r="B60" s="15" t="s">
        <v>373</v>
      </c>
      <c r="C60" s="10" t="s">
        <v>270</v>
      </c>
      <c r="D60" s="10"/>
      <c r="E60" s="10"/>
      <c r="F60" s="10" t="s">
        <v>48</v>
      </c>
      <c r="G60" s="9"/>
      <c r="H60" s="9"/>
      <c r="I60" s="9"/>
      <c r="J60" s="16" t="e">
        <f>'Position Task List'!#REF!</f>
        <v>#REF!</v>
      </c>
      <c r="K60" s="10"/>
    </row>
    <row r="61" spans="1:11" ht="14.45">
      <c r="A61">
        <v>2</v>
      </c>
      <c r="B61" s="15" t="s">
        <v>374</v>
      </c>
      <c r="C61" s="10" t="s">
        <v>270</v>
      </c>
      <c r="D61" s="10"/>
      <c r="E61" s="10"/>
      <c r="F61" s="10" t="s">
        <v>48</v>
      </c>
      <c r="G61" s="9"/>
      <c r="H61" s="9"/>
      <c r="I61" s="9"/>
      <c r="J61" s="16" t="e">
        <f>'Position Task List'!#REF!</f>
        <v>#REF!</v>
      </c>
      <c r="K61" s="10"/>
    </row>
    <row r="62" spans="1:11" ht="14.45">
      <c r="A62">
        <v>2</v>
      </c>
      <c r="B62" s="15" t="s">
        <v>375</v>
      </c>
      <c r="C62" s="10" t="s">
        <v>270</v>
      </c>
      <c r="D62" s="10"/>
      <c r="E62" s="10"/>
      <c r="F62" s="10" t="s">
        <v>48</v>
      </c>
      <c r="G62" s="9"/>
      <c r="H62" s="9"/>
      <c r="I62" s="9"/>
      <c r="J62" s="16" t="e">
        <f>'Position Task List'!#REF!</f>
        <v>#REF!</v>
      </c>
      <c r="K62" s="10"/>
    </row>
    <row r="63" spans="1:11" ht="14.45">
      <c r="A63">
        <v>2</v>
      </c>
      <c r="B63" s="15" t="s">
        <v>376</v>
      </c>
      <c r="C63" s="10" t="s">
        <v>270</v>
      </c>
      <c r="D63" s="10"/>
      <c r="E63" s="10"/>
      <c r="F63" s="10" t="s">
        <v>48</v>
      </c>
      <c r="G63" s="29"/>
      <c r="H63" s="29"/>
      <c r="I63" s="29"/>
      <c r="J63" s="16" t="e">
        <f>'Position Task List'!#REF!</f>
        <v>#REF!</v>
      </c>
      <c r="K63" s="10"/>
    </row>
    <row r="64" spans="1:11" ht="14.45">
      <c r="A64">
        <v>2</v>
      </c>
      <c r="B64" s="15" t="s">
        <v>377</v>
      </c>
      <c r="C64" s="10" t="s">
        <v>270</v>
      </c>
      <c r="D64" s="10"/>
      <c r="E64" s="10"/>
      <c r="F64" s="10" t="s">
        <v>48</v>
      </c>
      <c r="G64" s="9"/>
      <c r="H64" s="9"/>
      <c r="I64" s="9"/>
      <c r="J64" s="16" t="e">
        <f>'Position Task List'!#REF!</f>
        <v>#REF!</v>
      </c>
      <c r="K64" s="10"/>
    </row>
    <row r="65" spans="1:11" ht="14.45">
      <c r="A65">
        <v>2</v>
      </c>
      <c r="B65" s="15" t="s">
        <v>378</v>
      </c>
      <c r="C65" s="10" t="s">
        <v>270</v>
      </c>
      <c r="D65" s="10"/>
      <c r="E65" s="10"/>
      <c r="F65" s="10" t="s">
        <v>48</v>
      </c>
      <c r="G65" s="9"/>
      <c r="H65" s="9"/>
      <c r="I65" s="9"/>
      <c r="J65" s="16" t="e">
        <f>'Position Task List'!#REF!</f>
        <v>#REF!</v>
      </c>
      <c r="K65" s="10"/>
    </row>
    <row r="66" spans="1:11" ht="14.45">
      <c r="A66">
        <v>2</v>
      </c>
      <c r="B66" s="15" t="s">
        <v>379</v>
      </c>
      <c r="C66" s="10" t="s">
        <v>270</v>
      </c>
      <c r="D66" s="10"/>
      <c r="E66" s="10"/>
      <c r="F66" s="10" t="s">
        <v>48</v>
      </c>
      <c r="G66" s="9"/>
      <c r="H66" s="9"/>
      <c r="I66" s="9"/>
      <c r="J66" s="16" t="e">
        <f>'Position Task List'!#REF!</f>
        <v>#REF!</v>
      </c>
      <c r="K66" s="10"/>
    </row>
    <row r="67" spans="1:11" ht="14.45">
      <c r="A67">
        <v>2</v>
      </c>
      <c r="B67" s="15" t="s">
        <v>380</v>
      </c>
      <c r="C67" s="10" t="s">
        <v>270</v>
      </c>
      <c r="D67" s="10"/>
      <c r="E67" s="10"/>
      <c r="F67" s="10" t="s">
        <v>48</v>
      </c>
      <c r="G67" s="9"/>
      <c r="H67" s="9"/>
      <c r="I67" s="9"/>
      <c r="J67" s="16" t="e">
        <f>'Position Task List'!#REF!</f>
        <v>#REF!</v>
      </c>
      <c r="K67" s="10"/>
    </row>
    <row r="68" spans="1:11" ht="28.9">
      <c r="A68">
        <v>2</v>
      </c>
      <c r="B68" s="15" t="s">
        <v>381</v>
      </c>
      <c r="C68" s="10" t="s">
        <v>270</v>
      </c>
      <c r="D68" s="10"/>
      <c r="E68" s="10"/>
      <c r="F68" s="10" t="s">
        <v>48</v>
      </c>
      <c r="G68" s="9"/>
      <c r="H68" s="9"/>
      <c r="I68" s="9"/>
      <c r="J68" s="16" t="e">
        <f>'Position Task List'!#REF!</f>
        <v>#REF!</v>
      </c>
      <c r="K68" s="10" t="s">
        <v>382</v>
      </c>
    </row>
    <row r="69" spans="1:11" ht="25.5" customHeight="1">
      <c r="A69">
        <v>3</v>
      </c>
      <c r="B69" s="15">
        <v>3</v>
      </c>
      <c r="C69" s="10" t="s">
        <v>15</v>
      </c>
      <c r="D69" s="10" t="s">
        <v>260</v>
      </c>
      <c r="E69" s="10" t="s">
        <v>383</v>
      </c>
      <c r="F69" s="10"/>
      <c r="G69" s="10">
        <v>0</v>
      </c>
      <c r="H69" s="10">
        <v>0</v>
      </c>
      <c r="I69" s="10">
        <v>1</v>
      </c>
      <c r="J69" s="30"/>
      <c r="K69" s="10"/>
    </row>
    <row r="70" spans="1:11" ht="24.4" customHeight="1">
      <c r="A70">
        <v>3</v>
      </c>
      <c r="B70" s="15">
        <v>3.1</v>
      </c>
      <c r="C70" t="s">
        <v>263</v>
      </c>
      <c r="D70" s="10" t="s">
        <v>264</v>
      </c>
      <c r="E70" s="10" t="s">
        <v>384</v>
      </c>
      <c r="F70" s="10"/>
      <c r="G70" s="31">
        <v>0</v>
      </c>
      <c r="H70" s="31">
        <v>0</v>
      </c>
      <c r="I70" s="31">
        <v>1</v>
      </c>
      <c r="J70" s="9"/>
      <c r="K70" s="10"/>
    </row>
    <row r="71" spans="1:11" ht="24" customHeight="1">
      <c r="A71">
        <v>3</v>
      </c>
      <c r="B71" s="15" t="s">
        <v>385</v>
      </c>
      <c r="C71" s="10" t="s">
        <v>386</v>
      </c>
      <c r="D71" s="10" t="s">
        <v>387</v>
      </c>
      <c r="E71" s="10" t="s">
        <v>388</v>
      </c>
      <c r="F71" s="10"/>
      <c r="G71" s="31">
        <v>0</v>
      </c>
      <c r="H71" s="31">
        <v>0</v>
      </c>
      <c r="I71" s="31">
        <v>1</v>
      </c>
      <c r="J71" s="9"/>
      <c r="K71" s="10"/>
    </row>
    <row r="72" spans="1:11" ht="14.45">
      <c r="A72">
        <v>3</v>
      </c>
      <c r="B72" s="15" t="s">
        <v>389</v>
      </c>
      <c r="C72" t="s">
        <v>390</v>
      </c>
      <c r="D72" s="10"/>
      <c r="E72" s="10"/>
      <c r="F72" s="10"/>
      <c r="G72" s="9"/>
      <c r="H72" s="9"/>
      <c r="I72" s="9"/>
      <c r="J72" s="16" t="e">
        <f>'Position Task List'!#REF!</f>
        <v>#REF!</v>
      </c>
      <c r="K72" s="10" t="s">
        <v>391</v>
      </c>
    </row>
    <row r="73" spans="1:11" ht="14.45">
      <c r="A73">
        <v>3</v>
      </c>
      <c r="B73" s="15" t="s">
        <v>392</v>
      </c>
      <c r="C73" t="s">
        <v>390</v>
      </c>
      <c r="D73" s="10"/>
      <c r="E73" s="10"/>
      <c r="F73" s="10"/>
      <c r="G73" s="9"/>
      <c r="H73" s="9"/>
      <c r="I73" s="9"/>
      <c r="J73" s="16" t="e">
        <f>'Position Task List'!#REF!</f>
        <v>#REF!</v>
      </c>
      <c r="K73" s="10"/>
    </row>
    <row r="74" spans="1:11" ht="14.45">
      <c r="A74">
        <v>3</v>
      </c>
      <c r="B74" s="15" t="s">
        <v>393</v>
      </c>
      <c r="C74" t="s">
        <v>390</v>
      </c>
      <c r="D74" s="10"/>
      <c r="E74" s="10"/>
      <c r="F74" s="10"/>
      <c r="G74" s="9"/>
      <c r="H74" s="9"/>
      <c r="I74" s="9"/>
      <c r="J74" s="16" t="e">
        <f>'Position Task List'!#REF!</f>
        <v>#REF!</v>
      </c>
      <c r="K74" s="10"/>
    </row>
    <row r="75" spans="1:11" ht="14.45">
      <c r="A75">
        <v>3</v>
      </c>
      <c r="B75" s="15" t="s">
        <v>394</v>
      </c>
      <c r="C75" t="s">
        <v>390</v>
      </c>
      <c r="D75" s="10"/>
      <c r="E75" s="10"/>
      <c r="F75" s="10"/>
      <c r="G75" s="9"/>
      <c r="H75" s="9"/>
      <c r="I75" s="9"/>
      <c r="J75" s="16" t="e">
        <f>'Position Task List'!#REF!</f>
        <v>#REF!</v>
      </c>
      <c r="K75" s="10"/>
    </row>
    <row r="76" spans="1:11" ht="14.45">
      <c r="A76">
        <v>3</v>
      </c>
      <c r="B76" s="15" t="s">
        <v>395</v>
      </c>
      <c r="C76" t="s">
        <v>390</v>
      </c>
      <c r="D76" s="10"/>
      <c r="E76" s="10"/>
      <c r="F76" s="10"/>
      <c r="G76" s="9"/>
      <c r="H76" s="9"/>
      <c r="I76" s="9"/>
      <c r="J76" s="16" t="e">
        <f>'Position Task List'!#REF!</f>
        <v>#REF!</v>
      </c>
      <c r="K76" s="10"/>
    </row>
    <row r="77" spans="1:11" ht="14.45">
      <c r="A77">
        <v>3</v>
      </c>
      <c r="B77" s="15" t="s">
        <v>396</v>
      </c>
      <c r="C77" t="s">
        <v>390</v>
      </c>
      <c r="D77" s="10"/>
      <c r="E77" s="10"/>
      <c r="F77" s="10"/>
      <c r="G77" s="9"/>
      <c r="H77" s="9"/>
      <c r="I77" s="9"/>
      <c r="J77" s="16" t="e">
        <f>'Position Task List'!#REF!</f>
        <v>#REF!</v>
      </c>
      <c r="K77" s="10"/>
    </row>
    <row r="78" spans="1:11" ht="28.9">
      <c r="A78">
        <v>3</v>
      </c>
      <c r="B78" s="15" t="s">
        <v>397</v>
      </c>
      <c r="C78" t="s">
        <v>390</v>
      </c>
      <c r="D78" s="10"/>
      <c r="E78" s="10"/>
      <c r="F78" s="10" t="s">
        <v>48</v>
      </c>
      <c r="G78" s="9"/>
      <c r="H78" s="9"/>
      <c r="I78" s="9"/>
      <c r="J78" s="16" t="e">
        <f>'Position Task List'!#REF!</f>
        <v>#REF!</v>
      </c>
      <c r="K78" s="10" t="s">
        <v>398</v>
      </c>
    </row>
    <row r="79" spans="1:11" ht="14.45">
      <c r="A79">
        <v>3</v>
      </c>
      <c r="B79" s="15" t="s">
        <v>399</v>
      </c>
      <c r="D79" s="10"/>
      <c r="E79" s="10"/>
      <c r="F79" s="10"/>
      <c r="G79" s="9"/>
      <c r="H79" s="9"/>
      <c r="I79" s="9"/>
      <c r="J79" s="16" t="e">
        <f>'Position Task List'!#REF!</f>
        <v>#REF!</v>
      </c>
      <c r="K79" s="10"/>
    </row>
    <row r="80" spans="1:11" ht="14.45">
      <c r="A80">
        <v>3</v>
      </c>
      <c r="B80" s="15" t="s">
        <v>400</v>
      </c>
      <c r="D80" s="10"/>
      <c r="E80" s="10"/>
      <c r="F80" s="10"/>
      <c r="G80" s="9"/>
      <c r="H80" s="9"/>
      <c r="I80" s="9"/>
      <c r="J80" s="16" t="e">
        <f>'Position Task List'!#REF!</f>
        <v>#REF!</v>
      </c>
      <c r="K80" s="10"/>
    </row>
    <row r="81" spans="1:11" ht="14.45">
      <c r="A81">
        <v>3</v>
      </c>
      <c r="B81" s="15" t="s">
        <v>401</v>
      </c>
      <c r="D81" s="10"/>
      <c r="E81" s="10"/>
      <c r="F81" s="10"/>
      <c r="G81" s="9"/>
      <c r="H81" s="9"/>
      <c r="I81" s="9"/>
      <c r="J81" s="16" t="e">
        <f>'Position Task List'!#REF!</f>
        <v>#REF!</v>
      </c>
      <c r="K81" s="10"/>
    </row>
    <row r="82" spans="1:11" ht="14.45">
      <c r="A82">
        <v>3</v>
      </c>
      <c r="B82" s="15" t="s">
        <v>402</v>
      </c>
      <c r="D82" s="10"/>
      <c r="E82" s="10"/>
      <c r="F82" s="10"/>
      <c r="G82" s="9"/>
      <c r="H82" s="9"/>
      <c r="I82" s="9"/>
      <c r="J82" s="16" t="e">
        <f>'Position Task List'!#REF!</f>
        <v>#REF!</v>
      </c>
      <c r="K82" s="10"/>
    </row>
    <row r="83" spans="1:11" ht="14.45">
      <c r="A83">
        <v>3</v>
      </c>
      <c r="B83" s="15" t="s">
        <v>403</v>
      </c>
      <c r="D83" s="10"/>
      <c r="E83" s="10"/>
      <c r="F83" s="10"/>
      <c r="G83" s="9"/>
      <c r="H83" s="9"/>
      <c r="I83" s="9"/>
      <c r="J83" s="16" t="e">
        <f>'Position Task List'!#REF!</f>
        <v>#REF!</v>
      </c>
      <c r="K83" s="10"/>
    </row>
    <row r="84" spans="1:11" ht="28.9">
      <c r="A84">
        <v>3</v>
      </c>
      <c r="B84" s="15" t="s">
        <v>404</v>
      </c>
      <c r="C84" t="s">
        <v>390</v>
      </c>
      <c r="D84" s="10"/>
      <c r="E84" s="10"/>
      <c r="F84" s="10" t="s">
        <v>48</v>
      </c>
      <c r="G84" s="9"/>
      <c r="H84" s="9"/>
      <c r="I84" s="9"/>
      <c r="J84" s="16" t="e">
        <f>'Position Task List'!#REF!</f>
        <v>#REF!</v>
      </c>
      <c r="K84" s="10" t="s">
        <v>405</v>
      </c>
    </row>
    <row r="85" spans="1:11" ht="14.45">
      <c r="A85">
        <v>3</v>
      </c>
      <c r="B85" s="15" t="s">
        <v>406</v>
      </c>
      <c r="C85" t="s">
        <v>390</v>
      </c>
      <c r="D85" s="10"/>
      <c r="E85" s="10"/>
      <c r="F85" s="10"/>
      <c r="G85" s="9"/>
      <c r="H85" s="9"/>
      <c r="I85" s="9"/>
      <c r="J85" s="16" t="e">
        <f>'Position Task List'!#REF!</f>
        <v>#REF!</v>
      </c>
      <c r="K85" s="10"/>
    </row>
    <row r="86" spans="1:11" ht="14.45">
      <c r="A86">
        <v>3</v>
      </c>
      <c r="B86" s="15" t="s">
        <v>407</v>
      </c>
      <c r="C86" t="s">
        <v>390</v>
      </c>
      <c r="D86" s="10"/>
      <c r="E86" s="10"/>
      <c r="F86" s="10"/>
      <c r="G86" s="9"/>
      <c r="H86" s="9"/>
      <c r="I86" s="9"/>
      <c r="J86" s="16" t="e">
        <f>'Position Task List'!#REF!</f>
        <v>#REF!</v>
      </c>
      <c r="K86" s="10"/>
    </row>
    <row r="87" spans="1:11" ht="14.45">
      <c r="A87">
        <v>3</v>
      </c>
      <c r="B87" s="15" t="s">
        <v>408</v>
      </c>
      <c r="C87" t="s">
        <v>390</v>
      </c>
      <c r="D87" s="10"/>
      <c r="E87" s="10"/>
      <c r="F87" s="10"/>
      <c r="G87" s="9"/>
      <c r="H87" s="9"/>
      <c r="I87" s="9"/>
      <c r="J87" s="16" t="e">
        <f>'Position Task List'!#REF!</f>
        <v>#REF!</v>
      </c>
      <c r="K87" s="10"/>
    </row>
    <row r="88" spans="1:11" ht="14.45">
      <c r="A88">
        <v>3</v>
      </c>
      <c r="B88" s="15" t="s">
        <v>409</v>
      </c>
      <c r="C88" t="s">
        <v>390</v>
      </c>
      <c r="D88" s="10"/>
      <c r="E88" s="10"/>
      <c r="F88" s="10"/>
      <c r="G88" s="9"/>
      <c r="H88" s="9"/>
      <c r="I88" s="9"/>
      <c r="J88" s="16" t="e">
        <f>'Position Task List'!#REF!</f>
        <v>#REF!</v>
      </c>
      <c r="K88" s="10"/>
    </row>
    <row r="89" spans="1:11" ht="14.45">
      <c r="A89">
        <v>3</v>
      </c>
      <c r="B89" s="15" t="s">
        <v>410</v>
      </c>
      <c r="C89" t="s">
        <v>390</v>
      </c>
      <c r="D89" s="10"/>
      <c r="E89" s="10"/>
      <c r="F89" s="10"/>
      <c r="G89" s="9"/>
      <c r="H89" s="9"/>
      <c r="I89" s="9"/>
      <c r="J89" s="16" t="e">
        <f>'Position Task List'!#REF!</f>
        <v>#REF!</v>
      </c>
      <c r="K89" s="10"/>
    </row>
    <row r="90" spans="1:11" ht="14.45">
      <c r="A90">
        <v>3</v>
      </c>
      <c r="B90" s="15" t="s">
        <v>411</v>
      </c>
      <c r="C90" t="s">
        <v>390</v>
      </c>
      <c r="D90" s="10"/>
      <c r="E90" s="10"/>
      <c r="F90" s="10" t="s">
        <v>48</v>
      </c>
      <c r="G90" s="9"/>
      <c r="H90" s="9"/>
      <c r="I90" s="9"/>
      <c r="J90" s="16" t="e">
        <f>'Position Task List'!#REF!</f>
        <v>#REF!</v>
      </c>
      <c r="K90" s="10" t="s">
        <v>412</v>
      </c>
    </row>
    <row r="91" spans="1:11" ht="14.45">
      <c r="A91">
        <v>3</v>
      </c>
      <c r="B91" s="15" t="s">
        <v>413</v>
      </c>
      <c r="D91" s="10"/>
      <c r="E91" s="10"/>
      <c r="F91" s="10"/>
      <c r="G91" s="9"/>
      <c r="H91" s="9"/>
      <c r="I91" s="9"/>
      <c r="J91" s="16" t="e">
        <f>'Position Task List'!#REF!</f>
        <v>#REF!</v>
      </c>
      <c r="K91" s="10"/>
    </row>
    <row r="92" spans="1:11" ht="14.45">
      <c r="A92">
        <v>3</v>
      </c>
      <c r="B92" s="15" t="s">
        <v>414</v>
      </c>
      <c r="D92" s="10"/>
      <c r="E92" s="10"/>
      <c r="F92" s="10"/>
      <c r="G92" s="9"/>
      <c r="H92" s="9"/>
      <c r="I92" s="9"/>
      <c r="J92" s="16" t="e">
        <f>'Position Task List'!#REF!</f>
        <v>#REF!</v>
      </c>
      <c r="K92" s="10"/>
    </row>
    <row r="93" spans="1:11" ht="14.45">
      <c r="A93">
        <v>3</v>
      </c>
      <c r="B93" s="15" t="s">
        <v>415</v>
      </c>
      <c r="D93" s="10"/>
      <c r="E93" s="10"/>
      <c r="F93" s="10"/>
      <c r="G93" s="9"/>
      <c r="H93" s="9"/>
      <c r="I93" s="9"/>
      <c r="J93" s="16" t="e">
        <f>'Position Task List'!#REF!</f>
        <v>#REF!</v>
      </c>
      <c r="K93" s="10"/>
    </row>
    <row r="94" spans="1:11" ht="14.45">
      <c r="A94">
        <v>3</v>
      </c>
      <c r="B94" s="15" t="s">
        <v>416</v>
      </c>
      <c r="D94" s="10"/>
      <c r="E94" s="10"/>
      <c r="F94" s="10"/>
      <c r="G94" s="9"/>
      <c r="H94" s="9"/>
      <c r="I94" s="9"/>
      <c r="J94" s="16" t="e">
        <f>'Position Task List'!#REF!</f>
        <v>#REF!</v>
      </c>
      <c r="K94" s="10"/>
    </row>
    <row r="95" spans="1:11" ht="14.45">
      <c r="A95">
        <v>3</v>
      </c>
      <c r="B95" s="15" t="s">
        <v>417</v>
      </c>
      <c r="D95" s="10"/>
      <c r="E95" s="10"/>
      <c r="F95" s="10"/>
      <c r="G95" s="9"/>
      <c r="H95" s="9"/>
      <c r="I95" s="9"/>
      <c r="J95" s="16" t="e">
        <f>'Position Task List'!#REF!</f>
        <v>#REF!</v>
      </c>
      <c r="K95" s="10"/>
    </row>
    <row r="96" spans="1:11" ht="14.45">
      <c r="A96">
        <v>3</v>
      </c>
      <c r="B96" s="15" t="s">
        <v>418</v>
      </c>
      <c r="C96" t="s">
        <v>390</v>
      </c>
      <c r="D96" s="10"/>
      <c r="E96" s="10"/>
      <c r="F96" s="10" t="s">
        <v>48</v>
      </c>
      <c r="G96" s="9"/>
      <c r="H96" s="9"/>
      <c r="I96" s="9"/>
      <c r="J96" s="16" t="e">
        <f>'Position Task List'!#REF!</f>
        <v>#REF!</v>
      </c>
      <c r="K96" s="10" t="s">
        <v>419</v>
      </c>
    </row>
    <row r="97" spans="1:11" ht="14.45">
      <c r="A97">
        <v>3</v>
      </c>
      <c r="B97" s="15" t="s">
        <v>420</v>
      </c>
      <c r="C97" t="s">
        <v>390</v>
      </c>
      <c r="D97" s="10"/>
      <c r="E97" s="10"/>
      <c r="F97" s="10"/>
      <c r="G97" s="9"/>
      <c r="H97" s="9"/>
      <c r="I97" s="9"/>
      <c r="J97" s="16" t="e">
        <f>'Position Task List'!#REF!</f>
        <v>#REF!</v>
      </c>
      <c r="K97" s="10"/>
    </row>
    <row r="98" spans="1:11" ht="14.45">
      <c r="A98">
        <v>3</v>
      </c>
      <c r="B98" s="15" t="s">
        <v>421</v>
      </c>
      <c r="C98" t="s">
        <v>390</v>
      </c>
      <c r="D98" s="10"/>
      <c r="E98" s="10"/>
      <c r="F98" s="10"/>
      <c r="G98" s="9"/>
      <c r="H98" s="9"/>
      <c r="I98" s="9"/>
      <c r="J98" s="16" t="e">
        <f>'Position Task List'!#REF!</f>
        <v>#REF!</v>
      </c>
      <c r="K98" s="10"/>
    </row>
    <row r="99" spans="1:11" ht="14.45">
      <c r="A99">
        <v>3</v>
      </c>
      <c r="B99" s="15" t="s">
        <v>422</v>
      </c>
      <c r="C99" t="s">
        <v>390</v>
      </c>
      <c r="D99" s="10"/>
      <c r="E99" s="10"/>
      <c r="F99" s="10"/>
      <c r="G99" s="9"/>
      <c r="H99" s="9"/>
      <c r="I99" s="9"/>
      <c r="J99" s="16" t="e">
        <f>'Position Task List'!#REF!</f>
        <v>#REF!</v>
      </c>
      <c r="K99" s="10"/>
    </row>
    <row r="100" spans="1:11" ht="14.45">
      <c r="A100">
        <v>3</v>
      </c>
      <c r="B100" s="15" t="s">
        <v>423</v>
      </c>
      <c r="C100" t="s">
        <v>390</v>
      </c>
      <c r="D100" s="10"/>
      <c r="E100" s="10"/>
      <c r="F100" s="10"/>
      <c r="G100" s="9"/>
      <c r="H100" s="9"/>
      <c r="I100" s="9"/>
      <c r="J100" s="16" t="e">
        <f>'Position Task List'!#REF!</f>
        <v>#REF!</v>
      </c>
      <c r="K100" s="10"/>
    </row>
    <row r="101" spans="1:11" ht="14.45">
      <c r="A101">
        <v>3</v>
      </c>
      <c r="B101" s="15" t="s">
        <v>424</v>
      </c>
      <c r="C101" t="s">
        <v>390</v>
      </c>
      <c r="E101" s="10"/>
      <c r="F101" s="10"/>
      <c r="G101" s="29"/>
      <c r="H101" s="29"/>
      <c r="I101" s="29"/>
      <c r="J101" s="16" t="e">
        <f>'Position Task List'!#REF!</f>
        <v>#REF!</v>
      </c>
      <c r="K101" s="10"/>
    </row>
    <row r="102" spans="1:11" ht="18" customHeight="1">
      <c r="A102">
        <v>4</v>
      </c>
      <c r="B102" s="15">
        <v>4</v>
      </c>
      <c r="C102" t="s">
        <v>15</v>
      </c>
      <c r="D102" t="s">
        <v>260</v>
      </c>
      <c r="E102" s="10" t="s">
        <v>425</v>
      </c>
      <c r="F102" s="10"/>
      <c r="G102" s="10">
        <v>1</v>
      </c>
      <c r="H102" s="10">
        <v>0.62</v>
      </c>
      <c r="I102" s="10">
        <v>0.56999999999999995</v>
      </c>
      <c r="J102" s="9"/>
      <c r="K102" s="10"/>
    </row>
    <row r="103" spans="1:11" ht="18" customHeight="1">
      <c r="A103">
        <v>4</v>
      </c>
      <c r="B103" s="15">
        <v>4.0999999999999996</v>
      </c>
      <c r="C103" t="s">
        <v>263</v>
      </c>
      <c r="D103" s="10" t="s">
        <v>264</v>
      </c>
      <c r="E103" s="10" t="s">
        <v>426</v>
      </c>
      <c r="F103" s="10"/>
      <c r="G103" s="31">
        <v>1</v>
      </c>
      <c r="H103" s="31">
        <v>1</v>
      </c>
      <c r="I103" s="31">
        <v>1</v>
      </c>
      <c r="J103" s="9"/>
      <c r="K103" s="10"/>
    </row>
    <row r="104" spans="1:11" ht="18" customHeight="1">
      <c r="A104">
        <v>4</v>
      </c>
      <c r="B104" s="15" t="s">
        <v>427</v>
      </c>
      <c r="C104" t="s">
        <v>263</v>
      </c>
      <c r="D104" s="10" t="s">
        <v>343</v>
      </c>
      <c r="E104" s="10" t="s">
        <v>428</v>
      </c>
      <c r="F104" s="10"/>
      <c r="G104" s="31">
        <v>0.75</v>
      </c>
      <c r="H104" s="31">
        <v>0.49</v>
      </c>
      <c r="I104" s="31">
        <v>0.17</v>
      </c>
      <c r="J104" s="9"/>
      <c r="K104" s="10"/>
    </row>
    <row r="105" spans="1:11" ht="18" customHeight="1">
      <c r="A105">
        <v>4</v>
      </c>
      <c r="B105" s="15" t="s">
        <v>429</v>
      </c>
      <c r="C105" s="10" t="s">
        <v>430</v>
      </c>
      <c r="D105" s="10" t="s">
        <v>387</v>
      </c>
      <c r="E105" s="10" t="s">
        <v>431</v>
      </c>
      <c r="F105" s="10"/>
      <c r="G105" s="31">
        <v>1</v>
      </c>
      <c r="H105" s="31">
        <v>1</v>
      </c>
      <c r="I105" s="31">
        <v>1</v>
      </c>
      <c r="J105" s="9"/>
      <c r="K105" s="10"/>
    </row>
    <row r="106" spans="1:11" ht="18" customHeight="1">
      <c r="A106">
        <v>4</v>
      </c>
      <c r="B106" s="15" t="s">
        <v>432</v>
      </c>
      <c r="C106" t="s">
        <v>390</v>
      </c>
      <c r="D106" s="10"/>
      <c r="E106" s="10"/>
      <c r="F106" s="10" t="s">
        <v>48</v>
      </c>
      <c r="G106" s="9"/>
      <c r="H106" s="9"/>
      <c r="I106" s="9"/>
      <c r="J106" s="16" t="e">
        <f>'Position Task List'!#REF!</f>
        <v>#REF!</v>
      </c>
      <c r="K106" s="10" t="s">
        <v>433</v>
      </c>
    </row>
    <row r="107" spans="1:11" ht="18" customHeight="1">
      <c r="A107">
        <v>4</v>
      </c>
      <c r="B107" s="15" t="s">
        <v>434</v>
      </c>
      <c r="C107" t="s">
        <v>390</v>
      </c>
      <c r="D107" s="10"/>
      <c r="E107" s="11"/>
      <c r="F107" s="10" t="s">
        <v>48</v>
      </c>
      <c r="G107" s="9"/>
      <c r="H107" s="9"/>
      <c r="I107" s="9"/>
      <c r="J107" s="16" t="e">
        <f>'Position Task List'!#REF!</f>
        <v>#REF!</v>
      </c>
      <c r="K107" s="10"/>
    </row>
    <row r="108" spans="1:11" ht="18" customHeight="1">
      <c r="A108">
        <v>4</v>
      </c>
      <c r="B108" s="15" t="s">
        <v>435</v>
      </c>
      <c r="C108" t="s">
        <v>390</v>
      </c>
      <c r="D108" s="10"/>
      <c r="E108" s="11"/>
      <c r="F108" s="10" t="s">
        <v>48</v>
      </c>
      <c r="G108" s="9"/>
      <c r="H108" s="9"/>
      <c r="I108" s="9"/>
      <c r="J108" s="16" t="e">
        <f>'Position Task List'!#REF!</f>
        <v>#REF!</v>
      </c>
      <c r="K108" s="10"/>
    </row>
    <row r="109" spans="1:11" ht="18" customHeight="1">
      <c r="A109">
        <v>4</v>
      </c>
      <c r="B109" s="15" t="s">
        <v>436</v>
      </c>
      <c r="C109" t="s">
        <v>390</v>
      </c>
      <c r="D109" s="10"/>
      <c r="E109" s="11"/>
      <c r="F109" s="10" t="s">
        <v>48</v>
      </c>
      <c r="G109" s="9"/>
      <c r="H109" s="9"/>
      <c r="I109" s="9"/>
      <c r="J109" s="16" t="e">
        <f>'Position Task List'!#REF!</f>
        <v>#REF!</v>
      </c>
      <c r="K109" s="10"/>
    </row>
    <row r="110" spans="1:11" ht="18" customHeight="1">
      <c r="A110">
        <v>4</v>
      </c>
      <c r="B110" s="15" t="s">
        <v>437</v>
      </c>
      <c r="C110" t="s">
        <v>390</v>
      </c>
      <c r="D110" s="10"/>
      <c r="E110" s="11"/>
      <c r="F110" s="10" t="s">
        <v>48</v>
      </c>
      <c r="G110" s="9"/>
      <c r="H110" s="9"/>
      <c r="I110" s="9"/>
      <c r="J110" s="16" t="e">
        <f>'Position Task List'!#REF!</f>
        <v>#REF!</v>
      </c>
      <c r="K110" s="10"/>
    </row>
    <row r="111" spans="1:11" ht="18" customHeight="1">
      <c r="A111">
        <v>4</v>
      </c>
      <c r="B111" s="15" t="s">
        <v>438</v>
      </c>
      <c r="C111" t="s">
        <v>390</v>
      </c>
      <c r="D111" s="10"/>
      <c r="E111" s="11"/>
      <c r="F111" s="10" t="s">
        <v>48</v>
      </c>
      <c r="G111" s="9"/>
      <c r="H111" s="9"/>
      <c r="I111" s="9"/>
      <c r="J111" s="16" t="e">
        <f>'Position Task List'!#REF!</f>
        <v>#REF!</v>
      </c>
      <c r="K111" s="10"/>
    </row>
    <row r="112" spans="1:11" ht="18" customHeight="1">
      <c r="A112">
        <v>4</v>
      </c>
      <c r="B112" s="15" t="s">
        <v>439</v>
      </c>
      <c r="C112" t="s">
        <v>390</v>
      </c>
      <c r="D112" s="10"/>
      <c r="E112" s="10"/>
      <c r="F112" s="10" t="s">
        <v>48</v>
      </c>
      <c r="G112" s="9"/>
      <c r="H112" s="9"/>
      <c r="I112" s="9"/>
      <c r="J112" s="16" t="e">
        <f>'Position Task List'!#REF!</f>
        <v>#REF!</v>
      </c>
      <c r="K112" s="10" t="s">
        <v>440</v>
      </c>
    </row>
    <row r="113" spans="1:11" ht="18" customHeight="1">
      <c r="A113">
        <v>4</v>
      </c>
      <c r="B113" s="15" t="s">
        <v>441</v>
      </c>
      <c r="C113" t="s">
        <v>390</v>
      </c>
      <c r="D113" s="10"/>
      <c r="E113" s="10"/>
      <c r="F113" s="10" t="s">
        <v>48</v>
      </c>
      <c r="G113" s="9"/>
      <c r="H113" s="9"/>
      <c r="I113" s="9"/>
      <c r="J113" s="16" t="e">
        <f>'Position Task List'!#REF!</f>
        <v>#REF!</v>
      </c>
      <c r="K113" s="10"/>
    </row>
    <row r="114" spans="1:11" ht="18" customHeight="1">
      <c r="A114">
        <v>4</v>
      </c>
      <c r="B114" s="15" t="s">
        <v>442</v>
      </c>
      <c r="C114" t="s">
        <v>390</v>
      </c>
      <c r="D114" s="10"/>
      <c r="E114" s="10"/>
      <c r="F114" s="10" t="s">
        <v>48</v>
      </c>
      <c r="G114" s="9"/>
      <c r="H114" s="9"/>
      <c r="I114" s="9"/>
      <c r="J114" s="16" t="e">
        <f>'Position Task List'!#REF!</f>
        <v>#REF!</v>
      </c>
      <c r="K114" s="10"/>
    </row>
    <row r="115" spans="1:11" ht="18" customHeight="1">
      <c r="A115">
        <v>4</v>
      </c>
      <c r="B115" s="15" t="s">
        <v>443</v>
      </c>
      <c r="C115" t="s">
        <v>390</v>
      </c>
      <c r="D115" s="10"/>
      <c r="E115" s="10"/>
      <c r="F115" s="10" t="s">
        <v>48</v>
      </c>
      <c r="G115" s="9"/>
      <c r="H115" s="9"/>
      <c r="I115" s="9"/>
      <c r="J115" s="16" t="e">
        <f>'Position Task List'!#REF!</f>
        <v>#REF!</v>
      </c>
      <c r="K115" s="10"/>
    </row>
    <row r="116" spans="1:11" ht="18" customHeight="1">
      <c r="A116">
        <v>4</v>
      </c>
      <c r="B116" s="15" t="s">
        <v>444</v>
      </c>
      <c r="C116" t="s">
        <v>390</v>
      </c>
      <c r="D116" s="10"/>
      <c r="E116" s="10"/>
      <c r="F116" s="10" t="s">
        <v>48</v>
      </c>
      <c r="G116" s="9"/>
      <c r="H116" s="9"/>
      <c r="I116" s="9"/>
      <c r="J116" s="16" t="e">
        <f>'Position Task List'!#REF!</f>
        <v>#REF!</v>
      </c>
      <c r="K116" s="10"/>
    </row>
    <row r="117" spans="1:11" ht="18" customHeight="1">
      <c r="A117">
        <v>4</v>
      </c>
      <c r="B117" s="15" t="s">
        <v>445</v>
      </c>
      <c r="C117" t="s">
        <v>390</v>
      </c>
      <c r="D117" s="10"/>
      <c r="E117" s="10"/>
      <c r="F117" s="10" t="s">
        <v>48</v>
      </c>
      <c r="G117" s="9"/>
      <c r="H117" s="9"/>
      <c r="I117" s="9"/>
      <c r="J117" s="16" t="e">
        <f>'Position Task List'!#REF!</f>
        <v>#REF!</v>
      </c>
      <c r="K117" s="10"/>
    </row>
    <row r="118" spans="1:11" ht="18" customHeight="1">
      <c r="A118">
        <v>4</v>
      </c>
      <c r="B118" s="15" t="s">
        <v>446</v>
      </c>
      <c r="C118" t="s">
        <v>390</v>
      </c>
      <c r="D118" s="10"/>
      <c r="E118" s="10"/>
      <c r="F118" s="10" t="s">
        <v>48</v>
      </c>
      <c r="G118" s="9"/>
      <c r="H118" s="9"/>
      <c r="I118" s="9"/>
      <c r="J118" s="16" t="e">
        <f>'Position Task List'!#REF!</f>
        <v>#REF!</v>
      </c>
      <c r="K118" s="10" t="s">
        <v>447</v>
      </c>
    </row>
    <row r="119" spans="1:11" ht="18" customHeight="1">
      <c r="A119">
        <v>4</v>
      </c>
      <c r="B119" s="15" t="s">
        <v>448</v>
      </c>
      <c r="C119" t="s">
        <v>390</v>
      </c>
      <c r="D119" s="10"/>
      <c r="E119" s="10"/>
      <c r="F119" s="10" t="s">
        <v>48</v>
      </c>
      <c r="G119" s="9"/>
      <c r="H119" s="9"/>
      <c r="I119" s="9"/>
      <c r="J119" s="16" t="e">
        <f>'Position Task List'!#REF!</f>
        <v>#REF!</v>
      </c>
      <c r="K119" s="10"/>
    </row>
    <row r="120" spans="1:11" ht="18" customHeight="1">
      <c r="A120">
        <v>4</v>
      </c>
      <c r="B120" s="15" t="s">
        <v>449</v>
      </c>
      <c r="C120" t="s">
        <v>390</v>
      </c>
      <c r="D120" s="10"/>
      <c r="E120" s="10"/>
      <c r="F120" s="10" t="s">
        <v>48</v>
      </c>
      <c r="G120" s="9"/>
      <c r="H120" s="9"/>
      <c r="I120" s="9"/>
      <c r="J120" s="16" t="e">
        <f>'Position Task List'!#REF!</f>
        <v>#REF!</v>
      </c>
      <c r="K120" s="10"/>
    </row>
    <row r="121" spans="1:11" ht="18" customHeight="1">
      <c r="A121">
        <v>4</v>
      </c>
      <c r="B121" s="15" t="s">
        <v>450</v>
      </c>
      <c r="C121" t="s">
        <v>390</v>
      </c>
      <c r="D121" s="10"/>
      <c r="E121" s="10"/>
      <c r="F121" s="10" t="s">
        <v>48</v>
      </c>
      <c r="G121" s="9"/>
      <c r="H121" s="9"/>
      <c r="I121" s="9"/>
      <c r="J121" s="16" t="e">
        <f>'Position Task List'!#REF!</f>
        <v>#REF!</v>
      </c>
      <c r="K121" s="10"/>
    </row>
    <row r="122" spans="1:11" ht="18" customHeight="1">
      <c r="A122">
        <v>4</v>
      </c>
      <c r="B122" s="15" t="s">
        <v>451</v>
      </c>
      <c r="C122" t="s">
        <v>390</v>
      </c>
      <c r="D122" s="10"/>
      <c r="E122" s="10"/>
      <c r="F122" s="10" t="s">
        <v>48</v>
      </c>
      <c r="G122" s="9"/>
      <c r="H122" s="9"/>
      <c r="I122" s="9"/>
      <c r="J122" s="16" t="e">
        <f>'Position Task List'!#REF!</f>
        <v>#REF!</v>
      </c>
      <c r="K122" s="10"/>
    </row>
    <row r="123" spans="1:11" ht="18" customHeight="1">
      <c r="A123">
        <v>4</v>
      </c>
      <c r="B123" s="15" t="s">
        <v>452</v>
      </c>
      <c r="C123" t="s">
        <v>390</v>
      </c>
      <c r="D123" s="10"/>
      <c r="E123" s="10"/>
      <c r="F123" s="10" t="s">
        <v>48</v>
      </c>
      <c r="G123" s="9"/>
      <c r="H123" s="9"/>
      <c r="I123" s="9"/>
      <c r="J123" s="16" t="e">
        <f>'Position Task List'!#REF!</f>
        <v>#REF!</v>
      </c>
      <c r="K123" s="10"/>
    </row>
    <row r="124" spans="1:11" ht="18" customHeight="1">
      <c r="A124">
        <v>4</v>
      </c>
      <c r="B124" s="15" t="s">
        <v>453</v>
      </c>
      <c r="C124" t="s">
        <v>390</v>
      </c>
      <c r="D124" s="10"/>
      <c r="E124" s="10"/>
      <c r="F124" s="10" t="s">
        <v>48</v>
      </c>
      <c r="G124" s="9"/>
      <c r="H124" s="9"/>
      <c r="I124" s="9"/>
      <c r="J124" s="16" t="e">
        <f>'Position Task List'!#REF!</f>
        <v>#REF!</v>
      </c>
      <c r="K124" s="10" t="s">
        <v>454</v>
      </c>
    </row>
    <row r="125" spans="1:11" ht="18" customHeight="1">
      <c r="A125">
        <v>4</v>
      </c>
      <c r="B125" s="15" t="s">
        <v>455</v>
      </c>
      <c r="C125" t="s">
        <v>390</v>
      </c>
      <c r="D125" s="10"/>
      <c r="E125" s="10"/>
      <c r="F125" s="10" t="s">
        <v>48</v>
      </c>
      <c r="G125" s="9"/>
      <c r="H125" s="9"/>
      <c r="I125" s="9"/>
      <c r="J125" s="16" t="e">
        <f>'Position Task List'!#REF!</f>
        <v>#REF!</v>
      </c>
      <c r="K125" s="10"/>
    </row>
    <row r="126" spans="1:11" ht="18" customHeight="1">
      <c r="A126">
        <v>4</v>
      </c>
      <c r="B126" s="15" t="s">
        <v>456</v>
      </c>
      <c r="C126" t="s">
        <v>390</v>
      </c>
      <c r="D126" s="10"/>
      <c r="E126" s="10"/>
      <c r="F126" s="10" t="s">
        <v>48</v>
      </c>
      <c r="G126" s="9"/>
      <c r="H126" s="9"/>
      <c r="I126" s="9"/>
      <c r="J126" s="16" t="e">
        <f>'Position Task List'!#REF!</f>
        <v>#REF!</v>
      </c>
      <c r="K126" s="10"/>
    </row>
    <row r="127" spans="1:11" ht="18" customHeight="1">
      <c r="A127">
        <v>4</v>
      </c>
      <c r="B127" s="15" t="s">
        <v>457</v>
      </c>
      <c r="C127" t="s">
        <v>390</v>
      </c>
      <c r="D127" s="10"/>
      <c r="E127" s="10"/>
      <c r="F127" s="10" t="s">
        <v>48</v>
      </c>
      <c r="G127" s="9"/>
      <c r="H127" s="9"/>
      <c r="I127" s="9"/>
      <c r="J127" s="16" t="e">
        <f>'Position Task List'!#REF!</f>
        <v>#REF!</v>
      </c>
      <c r="K127" s="10"/>
    </row>
    <row r="128" spans="1:11" ht="18" customHeight="1">
      <c r="A128">
        <v>4</v>
      </c>
      <c r="B128" s="15" t="s">
        <v>458</v>
      </c>
      <c r="C128" t="s">
        <v>390</v>
      </c>
      <c r="D128" s="10"/>
      <c r="E128" s="10"/>
      <c r="F128" s="10" t="s">
        <v>48</v>
      </c>
      <c r="G128" s="9"/>
      <c r="H128" s="9"/>
      <c r="I128" s="9"/>
      <c r="J128" s="16" t="e">
        <f>'Position Task List'!#REF!</f>
        <v>#REF!</v>
      </c>
      <c r="K128" s="10"/>
    </row>
    <row r="129" spans="1:11" ht="18" customHeight="1">
      <c r="A129">
        <v>4</v>
      </c>
      <c r="B129" s="15" t="s">
        <v>459</v>
      </c>
      <c r="C129" t="s">
        <v>390</v>
      </c>
      <c r="D129" s="10"/>
      <c r="E129" s="10"/>
      <c r="F129" s="10" t="s">
        <v>48</v>
      </c>
      <c r="G129" s="9"/>
      <c r="H129" s="9"/>
      <c r="I129" s="9"/>
      <c r="J129" s="16" t="e">
        <f>'Position Task List'!#REF!</f>
        <v>#REF!</v>
      </c>
      <c r="K129" s="10"/>
    </row>
    <row r="130" spans="1:11" ht="18" customHeight="1">
      <c r="A130">
        <v>4</v>
      </c>
      <c r="B130" s="15" t="s">
        <v>460</v>
      </c>
      <c r="C130" t="s">
        <v>390</v>
      </c>
      <c r="D130" s="10"/>
      <c r="E130" s="10"/>
      <c r="F130" s="10" t="s">
        <v>48</v>
      </c>
      <c r="G130" s="9"/>
      <c r="H130" s="9"/>
      <c r="I130" s="9"/>
      <c r="J130" s="16" t="e">
        <f>'Position Task List'!#REF!</f>
        <v>#REF!</v>
      </c>
      <c r="K130" s="10" t="s">
        <v>461</v>
      </c>
    </row>
    <row r="131" spans="1:11" ht="18" customHeight="1">
      <c r="A131">
        <v>4</v>
      </c>
      <c r="B131" s="15" t="s">
        <v>462</v>
      </c>
      <c r="C131" t="s">
        <v>390</v>
      </c>
      <c r="D131" s="10"/>
      <c r="E131" s="10"/>
      <c r="F131" s="10" t="s">
        <v>48</v>
      </c>
      <c r="G131" s="9"/>
      <c r="H131" s="9"/>
      <c r="I131" s="9"/>
      <c r="J131" s="16" t="e">
        <f>'Position Task List'!#REF!</f>
        <v>#REF!</v>
      </c>
      <c r="K131" s="10"/>
    </row>
    <row r="132" spans="1:11" ht="18" customHeight="1">
      <c r="A132">
        <v>4</v>
      </c>
      <c r="B132" s="15" t="s">
        <v>463</v>
      </c>
      <c r="C132" t="s">
        <v>390</v>
      </c>
      <c r="D132" s="10"/>
      <c r="E132" s="10"/>
      <c r="F132" s="10" t="s">
        <v>48</v>
      </c>
      <c r="G132" s="9"/>
      <c r="H132" s="9"/>
      <c r="I132" s="9"/>
      <c r="J132" s="16" t="e">
        <f>'Position Task List'!#REF!</f>
        <v>#REF!</v>
      </c>
      <c r="K132" s="10"/>
    </row>
    <row r="133" spans="1:11" ht="18" customHeight="1">
      <c r="A133">
        <v>4</v>
      </c>
      <c r="B133" s="15" t="s">
        <v>464</v>
      </c>
      <c r="C133" t="s">
        <v>390</v>
      </c>
      <c r="D133" s="10"/>
      <c r="E133" s="10"/>
      <c r="F133" s="10" t="s">
        <v>48</v>
      </c>
      <c r="G133" s="9"/>
      <c r="H133" s="9"/>
      <c r="I133" s="9"/>
      <c r="J133" s="16" t="e">
        <f>'Position Task List'!#REF!</f>
        <v>#REF!</v>
      </c>
      <c r="K133" s="10"/>
    </row>
    <row r="134" spans="1:11" ht="18" customHeight="1">
      <c r="A134">
        <v>4</v>
      </c>
      <c r="B134" s="15" t="s">
        <v>465</v>
      </c>
      <c r="C134" t="s">
        <v>390</v>
      </c>
      <c r="D134" s="10"/>
      <c r="E134" s="10"/>
      <c r="F134" s="10" t="s">
        <v>48</v>
      </c>
      <c r="G134" s="9"/>
      <c r="H134" s="9"/>
      <c r="I134" s="9"/>
      <c r="J134" s="16" t="e">
        <f>'Position Task List'!#REF!</f>
        <v>#REF!</v>
      </c>
      <c r="K134" s="10"/>
    </row>
    <row r="135" spans="1:11" ht="18" customHeight="1">
      <c r="A135">
        <v>4</v>
      </c>
      <c r="B135" s="15" t="s">
        <v>466</v>
      </c>
      <c r="C135" t="s">
        <v>390</v>
      </c>
      <c r="E135" s="10"/>
      <c r="F135" s="10" t="s">
        <v>48</v>
      </c>
      <c r="G135" s="29"/>
      <c r="H135" s="29"/>
      <c r="I135" s="29"/>
      <c r="J135" s="16" t="e">
        <f>'Position Task List'!#REF!</f>
        <v>#REF!</v>
      </c>
      <c r="K135" s="10"/>
    </row>
    <row r="136" spans="1:11" ht="16.5" customHeight="1">
      <c r="A136">
        <v>5</v>
      </c>
      <c r="B136" s="15">
        <v>5</v>
      </c>
      <c r="C136" t="s">
        <v>15</v>
      </c>
      <c r="D136" t="s">
        <v>260</v>
      </c>
      <c r="E136" s="10" t="s">
        <v>467</v>
      </c>
      <c r="F136" s="10"/>
      <c r="G136" s="10">
        <v>1</v>
      </c>
      <c r="H136" s="10">
        <v>1</v>
      </c>
      <c r="I136" s="10">
        <v>1</v>
      </c>
      <c r="J136" s="29"/>
      <c r="K136" s="10"/>
    </row>
    <row r="137" spans="1:11" ht="16.5" customHeight="1">
      <c r="A137">
        <v>5</v>
      </c>
      <c r="B137">
        <v>5.0999999999999996</v>
      </c>
      <c r="C137" t="s">
        <v>263</v>
      </c>
      <c r="D137" s="10" t="s">
        <v>264</v>
      </c>
      <c r="E137" s="10" t="s">
        <v>468</v>
      </c>
      <c r="F137" s="10"/>
      <c r="G137" s="10">
        <v>1</v>
      </c>
      <c r="H137" s="10">
        <v>1</v>
      </c>
      <c r="I137" s="10">
        <v>1</v>
      </c>
      <c r="J137" s="9"/>
      <c r="K137" s="10"/>
    </row>
    <row r="138" spans="1:11" ht="16.5" customHeight="1">
      <c r="A138" s="32">
        <v>5</v>
      </c>
      <c r="B138" s="33" t="s">
        <v>469</v>
      </c>
      <c r="C138" s="32" t="s">
        <v>263</v>
      </c>
      <c r="D138" s="31" t="s">
        <v>470</v>
      </c>
      <c r="E138" s="31" t="s">
        <v>471</v>
      </c>
      <c r="F138" s="31"/>
      <c r="G138" s="10">
        <v>1</v>
      </c>
      <c r="H138" s="10">
        <v>1</v>
      </c>
      <c r="I138" s="10">
        <v>1</v>
      </c>
      <c r="J138" s="9"/>
      <c r="K138" s="10"/>
    </row>
    <row r="139" spans="1:11" ht="16.5" customHeight="1">
      <c r="A139">
        <v>5</v>
      </c>
      <c r="B139" s="15" t="s">
        <v>472</v>
      </c>
      <c r="C139" s="10" t="s">
        <v>16</v>
      </c>
      <c r="D139" s="10" t="s">
        <v>346</v>
      </c>
      <c r="E139" s="10" t="s">
        <v>473</v>
      </c>
      <c r="F139" s="10"/>
      <c r="G139" s="10">
        <v>1</v>
      </c>
      <c r="H139" s="10">
        <v>1</v>
      </c>
      <c r="I139" s="10">
        <v>1</v>
      </c>
      <c r="J139" s="9"/>
      <c r="K139" s="10"/>
    </row>
    <row r="140" spans="1:11" ht="16.5" customHeight="1">
      <c r="A140">
        <v>5</v>
      </c>
      <c r="B140" s="15" t="s">
        <v>474</v>
      </c>
      <c r="C140" t="s">
        <v>390</v>
      </c>
      <c r="D140" s="10"/>
      <c r="E140" s="10"/>
      <c r="F140" s="10" t="s">
        <v>48</v>
      </c>
      <c r="G140" s="9"/>
      <c r="H140" s="9"/>
      <c r="I140" s="9"/>
      <c r="J140" s="16" t="e">
        <f>'Position Task List'!#REF!</f>
        <v>#REF!</v>
      </c>
      <c r="K140" s="10" t="s">
        <v>475</v>
      </c>
    </row>
    <row r="141" spans="1:11" ht="16.5" customHeight="1">
      <c r="A141">
        <v>5</v>
      </c>
      <c r="B141" s="15" t="s">
        <v>476</v>
      </c>
      <c r="C141" t="s">
        <v>390</v>
      </c>
      <c r="D141" s="10"/>
      <c r="E141" s="11"/>
      <c r="F141" s="10" t="s">
        <v>48</v>
      </c>
      <c r="G141" s="9"/>
      <c r="H141" s="9"/>
      <c r="I141" s="9"/>
      <c r="J141" s="16" t="e">
        <f>'Position Task List'!#REF!</f>
        <v>#REF!</v>
      </c>
      <c r="K141" s="10"/>
    </row>
    <row r="142" spans="1:11" ht="16.5" customHeight="1">
      <c r="A142">
        <v>5</v>
      </c>
      <c r="B142" s="15" t="s">
        <v>477</v>
      </c>
      <c r="C142" t="s">
        <v>390</v>
      </c>
      <c r="D142" s="10"/>
      <c r="E142" s="11"/>
      <c r="F142" s="10" t="s">
        <v>48</v>
      </c>
      <c r="G142" s="9"/>
      <c r="H142" s="9"/>
      <c r="I142" s="9"/>
      <c r="J142" s="16" t="e">
        <f>'Position Task List'!#REF!</f>
        <v>#REF!</v>
      </c>
      <c r="K142" s="10"/>
    </row>
    <row r="143" spans="1:11" ht="16.5" customHeight="1">
      <c r="A143">
        <v>5</v>
      </c>
      <c r="B143" s="15" t="s">
        <v>478</v>
      </c>
      <c r="C143" t="s">
        <v>390</v>
      </c>
      <c r="D143" s="10"/>
      <c r="E143" s="11"/>
      <c r="F143" s="10" t="s">
        <v>48</v>
      </c>
      <c r="G143" s="9"/>
      <c r="H143" s="9"/>
      <c r="I143" s="9"/>
      <c r="J143" s="16" t="e">
        <f>'Position Task List'!#REF!</f>
        <v>#REF!</v>
      </c>
      <c r="K143" s="10"/>
    </row>
    <row r="144" spans="1:11" ht="16.5" customHeight="1">
      <c r="A144">
        <v>5</v>
      </c>
      <c r="B144" s="15" t="s">
        <v>479</v>
      </c>
      <c r="C144" t="s">
        <v>390</v>
      </c>
      <c r="D144" s="10"/>
      <c r="E144" s="11"/>
      <c r="F144" s="10" t="s">
        <v>48</v>
      </c>
      <c r="G144" s="9"/>
      <c r="H144" s="9"/>
      <c r="I144" s="9"/>
      <c r="J144" s="16" t="e">
        <f>'Position Task List'!#REF!</f>
        <v>#REF!</v>
      </c>
      <c r="K144" s="10"/>
    </row>
    <row r="145" spans="1:11" ht="16.5" customHeight="1">
      <c r="A145">
        <v>5</v>
      </c>
      <c r="B145" s="15" t="s">
        <v>480</v>
      </c>
      <c r="C145" t="s">
        <v>390</v>
      </c>
      <c r="D145" s="10"/>
      <c r="E145" s="11"/>
      <c r="F145" s="10" t="s">
        <v>48</v>
      </c>
      <c r="G145" s="9"/>
      <c r="H145" s="9"/>
      <c r="I145" s="9"/>
      <c r="J145" s="16" t="e">
        <f>'Position Task List'!#REF!</f>
        <v>#REF!</v>
      </c>
      <c r="K145" s="10"/>
    </row>
    <row r="146" spans="1:11" ht="16.5" customHeight="1">
      <c r="A146">
        <v>5</v>
      </c>
      <c r="B146" s="15" t="s">
        <v>481</v>
      </c>
      <c r="C146" t="s">
        <v>390</v>
      </c>
      <c r="D146" s="10"/>
      <c r="E146" s="10"/>
      <c r="F146" s="10" t="s">
        <v>48</v>
      </c>
      <c r="G146" s="9"/>
      <c r="H146" s="9"/>
      <c r="I146" s="9"/>
      <c r="J146" s="16" t="e">
        <f>'Position Task List'!#REF!</f>
        <v>#REF!</v>
      </c>
      <c r="K146" s="10" t="s">
        <v>482</v>
      </c>
    </row>
    <row r="147" spans="1:11" ht="16.5" customHeight="1">
      <c r="A147">
        <v>5</v>
      </c>
      <c r="B147" s="15" t="s">
        <v>483</v>
      </c>
      <c r="C147" t="s">
        <v>390</v>
      </c>
      <c r="D147" s="10"/>
      <c r="E147" s="10"/>
      <c r="F147" s="10" t="s">
        <v>48</v>
      </c>
      <c r="G147" s="9"/>
      <c r="H147" s="9"/>
      <c r="I147" s="9"/>
      <c r="J147" s="16" t="e">
        <f>'Position Task List'!#REF!</f>
        <v>#REF!</v>
      </c>
      <c r="K147" s="10"/>
    </row>
    <row r="148" spans="1:11" ht="16.5" customHeight="1">
      <c r="A148">
        <v>5</v>
      </c>
      <c r="B148" s="15" t="s">
        <v>484</v>
      </c>
      <c r="C148" t="s">
        <v>390</v>
      </c>
      <c r="D148" s="10"/>
      <c r="E148" s="10"/>
      <c r="F148" s="10" t="s">
        <v>48</v>
      </c>
      <c r="G148" s="9"/>
      <c r="H148" s="9"/>
      <c r="I148" s="9"/>
      <c r="J148" s="16" t="e">
        <f>'Position Task List'!#REF!</f>
        <v>#REF!</v>
      </c>
      <c r="K148" s="10"/>
    </row>
    <row r="149" spans="1:11" ht="16.5" customHeight="1">
      <c r="A149">
        <v>5</v>
      </c>
      <c r="B149" s="15" t="s">
        <v>485</v>
      </c>
      <c r="C149" t="s">
        <v>390</v>
      </c>
      <c r="D149" s="10"/>
      <c r="E149" s="10"/>
      <c r="F149" s="10" t="s">
        <v>48</v>
      </c>
      <c r="G149" s="9"/>
      <c r="H149" s="9"/>
      <c r="I149" s="9"/>
      <c r="J149" s="16" t="e">
        <f>'Position Task List'!#REF!</f>
        <v>#REF!</v>
      </c>
      <c r="K149" s="10"/>
    </row>
    <row r="150" spans="1:11" ht="16.5" customHeight="1">
      <c r="A150">
        <v>5</v>
      </c>
      <c r="B150" s="15" t="s">
        <v>486</v>
      </c>
      <c r="C150" t="s">
        <v>390</v>
      </c>
      <c r="D150" s="10"/>
      <c r="E150" s="10"/>
      <c r="F150" s="10" t="s">
        <v>48</v>
      </c>
      <c r="G150" s="9"/>
      <c r="H150" s="9"/>
      <c r="I150" s="9"/>
      <c r="J150" s="16" t="e">
        <f>'Position Task List'!#REF!</f>
        <v>#REF!</v>
      </c>
      <c r="K150" s="10"/>
    </row>
    <row r="151" spans="1:11" ht="16.5" customHeight="1">
      <c r="A151">
        <v>5</v>
      </c>
      <c r="B151" s="15" t="s">
        <v>487</v>
      </c>
      <c r="C151" t="s">
        <v>390</v>
      </c>
      <c r="D151" s="10"/>
      <c r="E151" s="10"/>
      <c r="F151" s="10" t="s">
        <v>48</v>
      </c>
      <c r="G151" s="9"/>
      <c r="H151" s="9"/>
      <c r="I151" s="9"/>
      <c r="J151" s="16" t="e">
        <f>'Position Task List'!#REF!</f>
        <v>#REF!</v>
      </c>
      <c r="K151" s="10"/>
    </row>
    <row r="152" spans="1:11" ht="16.5" customHeight="1">
      <c r="A152">
        <v>5</v>
      </c>
      <c r="B152" s="15" t="s">
        <v>488</v>
      </c>
      <c r="C152" t="s">
        <v>390</v>
      </c>
      <c r="D152" s="10"/>
      <c r="E152" s="10"/>
      <c r="F152" s="10" t="s">
        <v>48</v>
      </c>
      <c r="G152" s="9"/>
      <c r="H152" s="9"/>
      <c r="I152" s="9"/>
      <c r="J152" s="16" t="e">
        <f>'Position Task List'!#REF!</f>
        <v>#REF!</v>
      </c>
      <c r="K152" s="10" t="s">
        <v>489</v>
      </c>
    </row>
    <row r="153" spans="1:11" ht="16.5" customHeight="1">
      <c r="A153">
        <v>5</v>
      </c>
      <c r="B153" s="15" t="s">
        <v>490</v>
      </c>
      <c r="C153" t="s">
        <v>390</v>
      </c>
      <c r="D153" s="10"/>
      <c r="E153" s="10"/>
      <c r="F153" s="10" t="s">
        <v>48</v>
      </c>
      <c r="G153" s="9"/>
      <c r="H153" s="9"/>
      <c r="I153" s="9"/>
      <c r="J153" s="16" t="e">
        <f>'Position Task List'!#REF!</f>
        <v>#REF!</v>
      </c>
      <c r="K153" s="10"/>
    </row>
    <row r="154" spans="1:11" ht="16.5" customHeight="1">
      <c r="A154">
        <v>5</v>
      </c>
      <c r="B154" s="15" t="s">
        <v>491</v>
      </c>
      <c r="C154" t="s">
        <v>390</v>
      </c>
      <c r="D154" s="10"/>
      <c r="E154" s="10"/>
      <c r="F154" s="10" t="s">
        <v>48</v>
      </c>
      <c r="G154" s="9"/>
      <c r="H154" s="9"/>
      <c r="I154" s="9"/>
      <c r="J154" s="16" t="e">
        <f>'Position Task List'!#REF!</f>
        <v>#REF!</v>
      </c>
      <c r="K154" s="10"/>
    </row>
    <row r="155" spans="1:11" ht="16.5" customHeight="1">
      <c r="A155">
        <v>5</v>
      </c>
      <c r="B155" s="15" t="s">
        <v>492</v>
      </c>
      <c r="C155" t="s">
        <v>390</v>
      </c>
      <c r="D155" s="10"/>
      <c r="E155" s="10"/>
      <c r="F155" s="10" t="s">
        <v>48</v>
      </c>
      <c r="G155" s="9"/>
      <c r="H155" s="9"/>
      <c r="I155" s="9"/>
      <c r="J155" s="16" t="e">
        <f>'Position Task List'!#REF!</f>
        <v>#REF!</v>
      </c>
      <c r="K155" s="10"/>
    </row>
    <row r="156" spans="1:11" ht="16.5" customHeight="1">
      <c r="A156">
        <v>5</v>
      </c>
      <c r="B156" s="15" t="s">
        <v>493</v>
      </c>
      <c r="C156" t="s">
        <v>390</v>
      </c>
      <c r="D156" s="10"/>
      <c r="E156" s="10"/>
      <c r="F156" s="10" t="s">
        <v>48</v>
      </c>
      <c r="G156" s="9"/>
      <c r="H156" s="9"/>
      <c r="I156" s="9"/>
      <c r="J156" s="16" t="e">
        <f>'Position Task List'!#REF!</f>
        <v>#REF!</v>
      </c>
      <c r="K156" s="10"/>
    </row>
    <row r="157" spans="1:11" ht="16.5" customHeight="1">
      <c r="A157">
        <v>5</v>
      </c>
      <c r="B157" s="15" t="s">
        <v>494</v>
      </c>
      <c r="C157" t="s">
        <v>390</v>
      </c>
      <c r="D157" s="10"/>
      <c r="E157" s="10"/>
      <c r="F157" s="10" t="s">
        <v>48</v>
      </c>
      <c r="G157" s="9"/>
      <c r="H157" s="9"/>
      <c r="I157" s="9"/>
      <c r="J157" s="16" t="e">
        <f>'Position Task List'!#REF!</f>
        <v>#REF!</v>
      </c>
      <c r="K157" s="10"/>
    </row>
    <row r="158" spans="1:11" ht="16.5" customHeight="1">
      <c r="A158">
        <v>5</v>
      </c>
      <c r="B158" s="15" t="s">
        <v>495</v>
      </c>
      <c r="C158" t="s">
        <v>390</v>
      </c>
      <c r="D158" s="10"/>
      <c r="E158" s="10"/>
      <c r="F158" s="10" t="s">
        <v>48</v>
      </c>
      <c r="G158" s="9"/>
      <c r="H158" s="9"/>
      <c r="I158" s="9"/>
      <c r="J158" s="16" t="e">
        <f>'Position Task List'!#REF!</f>
        <v>#REF!</v>
      </c>
      <c r="K158" s="10" t="s">
        <v>496</v>
      </c>
    </row>
    <row r="159" spans="1:11" ht="16.5" customHeight="1">
      <c r="A159">
        <v>5</v>
      </c>
      <c r="B159" s="15" t="s">
        <v>497</v>
      </c>
      <c r="C159" t="s">
        <v>390</v>
      </c>
      <c r="D159" s="10"/>
      <c r="E159" s="10"/>
      <c r="F159" s="10" t="s">
        <v>48</v>
      </c>
      <c r="G159" s="9"/>
      <c r="H159" s="9"/>
      <c r="I159" s="9"/>
      <c r="J159" s="16" t="e">
        <f>'Position Task List'!#REF!</f>
        <v>#REF!</v>
      </c>
      <c r="K159" s="10"/>
    </row>
    <row r="160" spans="1:11" ht="16.5" customHeight="1">
      <c r="A160">
        <v>5</v>
      </c>
      <c r="B160" s="15" t="s">
        <v>498</v>
      </c>
      <c r="C160" t="s">
        <v>390</v>
      </c>
      <c r="D160" s="10"/>
      <c r="E160" s="10"/>
      <c r="F160" s="10" t="s">
        <v>48</v>
      </c>
      <c r="G160" s="9"/>
      <c r="H160" s="9"/>
      <c r="I160" s="9"/>
      <c r="J160" s="16" t="e">
        <f>'Position Task List'!#REF!</f>
        <v>#REF!</v>
      </c>
      <c r="K160" s="10"/>
    </row>
    <row r="161" spans="1:11" ht="16.5" customHeight="1">
      <c r="A161">
        <v>5</v>
      </c>
      <c r="B161" s="15" t="s">
        <v>499</v>
      </c>
      <c r="C161" t="s">
        <v>390</v>
      </c>
      <c r="D161" s="10"/>
      <c r="E161" s="10"/>
      <c r="F161" s="10" t="s">
        <v>48</v>
      </c>
      <c r="G161" s="9"/>
      <c r="H161" s="9"/>
      <c r="I161" s="9"/>
      <c r="J161" s="16" t="e">
        <f>'Position Task List'!#REF!</f>
        <v>#REF!</v>
      </c>
      <c r="K161" s="10"/>
    </row>
    <row r="162" spans="1:11" ht="16.5" customHeight="1">
      <c r="A162">
        <v>5</v>
      </c>
      <c r="B162" s="15" t="s">
        <v>500</v>
      </c>
      <c r="C162" t="s">
        <v>390</v>
      </c>
      <c r="D162" s="10"/>
      <c r="E162" s="10"/>
      <c r="F162" s="10" t="s">
        <v>48</v>
      </c>
      <c r="G162" s="9"/>
      <c r="H162" s="9"/>
      <c r="I162" s="9"/>
      <c r="J162" s="16" t="e">
        <f>'Position Task List'!#REF!</f>
        <v>#REF!</v>
      </c>
      <c r="K162" s="10"/>
    </row>
    <row r="163" spans="1:11" ht="16.5" customHeight="1">
      <c r="A163">
        <v>5</v>
      </c>
      <c r="B163" s="15" t="s">
        <v>501</v>
      </c>
      <c r="C163" t="s">
        <v>390</v>
      </c>
      <c r="D163" s="10"/>
      <c r="E163" s="10"/>
      <c r="F163" s="10" t="s">
        <v>48</v>
      </c>
      <c r="G163" s="9"/>
      <c r="H163" s="9"/>
      <c r="I163" s="9"/>
      <c r="J163" s="16" t="e">
        <f>'Position Task List'!#REF!</f>
        <v>#REF!</v>
      </c>
      <c r="K163" s="10"/>
    </row>
    <row r="164" spans="1:11" ht="16.5" customHeight="1">
      <c r="A164">
        <v>5</v>
      </c>
      <c r="B164" s="15" t="s">
        <v>502</v>
      </c>
      <c r="C164" t="s">
        <v>390</v>
      </c>
      <c r="D164" s="10"/>
      <c r="E164" s="10"/>
      <c r="F164" s="10" t="s">
        <v>48</v>
      </c>
      <c r="G164" s="9"/>
      <c r="H164" s="9"/>
      <c r="I164" s="9"/>
      <c r="J164" s="16" t="e">
        <f>'Position Task List'!#REF!</f>
        <v>#REF!</v>
      </c>
      <c r="K164" s="10" t="s">
        <v>503</v>
      </c>
    </row>
    <row r="165" spans="1:11" ht="16.5" customHeight="1">
      <c r="A165">
        <v>5</v>
      </c>
      <c r="B165" s="15" t="s">
        <v>504</v>
      </c>
      <c r="C165" t="s">
        <v>390</v>
      </c>
      <c r="E165" s="10"/>
      <c r="F165" s="10" t="s">
        <v>48</v>
      </c>
      <c r="G165" s="9"/>
      <c r="H165" s="9"/>
      <c r="I165" s="9"/>
      <c r="J165" s="16" t="e">
        <f>'Position Task List'!#REF!</f>
        <v>#REF!</v>
      </c>
      <c r="K165" s="10"/>
    </row>
    <row r="166" spans="1:11" ht="16.5" customHeight="1">
      <c r="A166">
        <v>5</v>
      </c>
      <c r="B166" s="15" t="s">
        <v>505</v>
      </c>
      <c r="C166" t="s">
        <v>390</v>
      </c>
      <c r="E166" s="10"/>
      <c r="F166" s="10" t="s">
        <v>48</v>
      </c>
      <c r="G166" s="9"/>
      <c r="H166" s="9"/>
      <c r="I166" s="9"/>
      <c r="J166" s="16" t="e">
        <f>'Position Task List'!#REF!</f>
        <v>#REF!</v>
      </c>
      <c r="K166" s="10"/>
    </row>
    <row r="167" spans="1:11" ht="16.5" customHeight="1">
      <c r="A167">
        <v>5</v>
      </c>
      <c r="B167" s="15" t="s">
        <v>506</v>
      </c>
      <c r="C167" t="s">
        <v>390</v>
      </c>
      <c r="E167" s="10"/>
      <c r="F167" s="10" t="s">
        <v>48</v>
      </c>
      <c r="G167" s="9"/>
      <c r="H167" s="9"/>
      <c r="I167" s="9"/>
      <c r="J167" s="16" t="e">
        <f>'Position Task List'!#REF!</f>
        <v>#REF!</v>
      </c>
      <c r="K167" s="10"/>
    </row>
    <row r="168" spans="1:11" ht="16.5" customHeight="1">
      <c r="A168">
        <v>5</v>
      </c>
      <c r="B168" s="15" t="s">
        <v>507</v>
      </c>
      <c r="C168" t="s">
        <v>390</v>
      </c>
      <c r="E168" s="10"/>
      <c r="F168" s="10" t="s">
        <v>48</v>
      </c>
      <c r="G168" s="9"/>
      <c r="H168" s="9"/>
      <c r="I168" s="9"/>
      <c r="J168" s="16" t="e">
        <f>'Position Task List'!#REF!</f>
        <v>#REF!</v>
      </c>
      <c r="K168" s="10"/>
    </row>
    <row r="169" spans="1:11" ht="16.5" customHeight="1">
      <c r="A169">
        <v>5</v>
      </c>
      <c r="B169" s="15" t="s">
        <v>508</v>
      </c>
      <c r="C169" t="s">
        <v>390</v>
      </c>
      <c r="E169" s="10"/>
      <c r="F169" s="10" t="s">
        <v>48</v>
      </c>
      <c r="G169" s="9"/>
      <c r="H169" s="9"/>
      <c r="I169" s="9"/>
      <c r="J169" s="16" t="e">
        <f>'Position Task List'!#REF!</f>
        <v>#REF!</v>
      </c>
      <c r="K169" s="10"/>
    </row>
  </sheetData>
  <pageMargins left="0.7" right="0.7" top="0.75" bottom="0.75" header="0.3" footer="0.3"/>
  <pageSetup orientation="portrait" r:id="rId1"/>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6CD9F6-1A54-4D7F-9324-F88D35DA3CEC}">
  <dimension ref="A1:E26"/>
  <sheetViews>
    <sheetView workbookViewId="0"/>
  </sheetViews>
  <sheetFormatPr defaultRowHeight="14.45"/>
  <cols>
    <col min="1" max="1" width="44.42578125" bestFit="1" customWidth="1"/>
    <col min="3" max="4" width="11" bestFit="1" customWidth="1"/>
    <col min="5" max="5" width="10.7109375" bestFit="1" customWidth="1"/>
  </cols>
  <sheetData>
    <row r="1" spans="1:5" ht="16.149999999999999" thickBot="1">
      <c r="A1" s="2"/>
      <c r="B1" s="163" t="s">
        <v>509</v>
      </c>
      <c r="C1" s="164"/>
      <c r="D1" s="164"/>
      <c r="E1" s="164"/>
    </row>
    <row r="2" spans="1:5" ht="15.6">
      <c r="A2" s="17" t="s">
        <v>510</v>
      </c>
      <c r="B2" s="18" t="s">
        <v>256</v>
      </c>
      <c r="C2" s="18" t="s">
        <v>257</v>
      </c>
      <c r="D2" s="18" t="s">
        <v>14</v>
      </c>
      <c r="E2" s="19" t="s">
        <v>511</v>
      </c>
    </row>
    <row r="3" spans="1:5">
      <c r="A3" s="20" t="s">
        <v>512</v>
      </c>
      <c r="B3" s="21">
        <v>17834.10957337356</v>
      </c>
      <c r="C3" s="21">
        <v>13266.152298648703</v>
      </c>
      <c r="D3" s="21">
        <v>136522.3459610382</v>
      </c>
      <c r="E3" s="22">
        <v>167622.60783306047</v>
      </c>
    </row>
    <row r="4" spans="1:5">
      <c r="A4" s="23" t="s">
        <v>513</v>
      </c>
      <c r="B4" s="24">
        <v>4869.7869497527017</v>
      </c>
      <c r="C4" s="24">
        <v>8966.8624540351593</v>
      </c>
      <c r="D4" s="24">
        <v>102418.89258040066</v>
      </c>
      <c r="E4" s="25">
        <v>116255.54198418852</v>
      </c>
    </row>
    <row r="5" spans="1:5">
      <c r="A5" s="23" t="s">
        <v>514</v>
      </c>
      <c r="B5" s="24">
        <v>12964.322623620857</v>
      </c>
      <c r="C5" s="24">
        <v>4299.2898446135432</v>
      </c>
      <c r="D5" s="24">
        <v>33434.683380637543</v>
      </c>
      <c r="E5" s="25">
        <v>50698.295848871945</v>
      </c>
    </row>
    <row r="6" spans="1:5">
      <c r="A6" s="23" t="s">
        <v>515</v>
      </c>
      <c r="B6" s="24">
        <v>0</v>
      </c>
      <c r="C6" s="24">
        <v>0</v>
      </c>
      <c r="D6" s="24">
        <v>668.77</v>
      </c>
      <c r="E6" s="25">
        <v>668.77</v>
      </c>
    </row>
    <row r="7" spans="1:5">
      <c r="A7" s="20" t="s">
        <v>516</v>
      </c>
      <c r="B7" s="21">
        <v>1790.5658371864288</v>
      </c>
      <c r="C7" s="21">
        <v>704.88936567600626</v>
      </c>
      <c r="D7" s="21">
        <v>7237.7827966001087</v>
      </c>
      <c r="E7" s="22">
        <v>9733.2379994625444</v>
      </c>
    </row>
    <row r="8" spans="1:5">
      <c r="A8" s="23" t="s">
        <v>517</v>
      </c>
      <c r="B8" s="24">
        <v>374.30234731609528</v>
      </c>
      <c r="C8" s="24">
        <v>166.21788007114657</v>
      </c>
      <c r="D8" s="24">
        <v>3723.4451457644614</v>
      </c>
      <c r="E8" s="25">
        <v>4263.9653731517028</v>
      </c>
    </row>
    <row r="9" spans="1:5">
      <c r="A9" s="23" t="s">
        <v>518</v>
      </c>
      <c r="B9" s="24">
        <v>1416.2634898703336</v>
      </c>
      <c r="C9" s="24">
        <v>538.67148560485975</v>
      </c>
      <c r="D9" s="24">
        <v>3428.5780269507318</v>
      </c>
      <c r="E9" s="25">
        <v>5383.5130024259252</v>
      </c>
    </row>
    <row r="10" spans="1:5">
      <c r="A10" s="23" t="s">
        <v>519</v>
      </c>
      <c r="B10" s="24">
        <v>0</v>
      </c>
      <c r="C10" s="24">
        <v>0</v>
      </c>
      <c r="D10" s="24">
        <v>85.759623884915214</v>
      </c>
      <c r="E10" s="25">
        <v>85.759623884915214</v>
      </c>
    </row>
    <row r="11" spans="1:5">
      <c r="A11" s="20" t="s">
        <v>520</v>
      </c>
      <c r="B11" s="21">
        <v>690.73916678921614</v>
      </c>
      <c r="C11" s="21">
        <v>623.26563877772298</v>
      </c>
      <c r="D11" s="21">
        <v>4133.3764742959293</v>
      </c>
      <c r="E11" s="22">
        <v>5447.3812798628678</v>
      </c>
    </row>
    <row r="12" spans="1:5">
      <c r="A12" s="23" t="s">
        <v>521</v>
      </c>
      <c r="B12" s="24">
        <v>140.36338024353574</v>
      </c>
      <c r="C12" s="24">
        <v>400.98624682440351</v>
      </c>
      <c r="D12" s="24">
        <v>2779.3671763674611</v>
      </c>
      <c r="E12" s="25">
        <v>3320.7168034354004</v>
      </c>
    </row>
    <row r="13" spans="1:5">
      <c r="A13" s="23" t="s">
        <v>522</v>
      </c>
      <c r="B13" s="24">
        <v>550.3757865456804</v>
      </c>
      <c r="C13" s="24">
        <v>222.27939195331945</v>
      </c>
      <c r="D13" s="24">
        <v>1305.8826621897708</v>
      </c>
      <c r="E13" s="25">
        <v>2078.5378406887708</v>
      </c>
    </row>
    <row r="14" spans="1:5">
      <c r="A14" s="23" t="s">
        <v>523</v>
      </c>
      <c r="B14" s="24">
        <v>0</v>
      </c>
      <c r="C14" s="24">
        <v>0</v>
      </c>
      <c r="D14" s="24">
        <v>48.126635738697637</v>
      </c>
      <c r="E14" s="25">
        <v>48.126635738697637</v>
      </c>
    </row>
    <row r="15" spans="1:5">
      <c r="A15" s="20" t="s">
        <v>524</v>
      </c>
      <c r="B15" s="21">
        <v>2479.4351320530773</v>
      </c>
      <c r="C15" s="21">
        <v>926.09262121015809</v>
      </c>
      <c r="D15" s="21">
        <v>21206.900668045648</v>
      </c>
      <c r="E15" s="22">
        <v>24612.428421308883</v>
      </c>
    </row>
    <row r="16" spans="1:5">
      <c r="A16" s="23" t="s">
        <v>525</v>
      </c>
      <c r="B16" s="24">
        <v>679.6129009367038</v>
      </c>
      <c r="C16" s="24">
        <v>725.41801514511963</v>
      </c>
      <c r="D16" s="24">
        <v>18767.05046789164</v>
      </c>
      <c r="E16" s="25">
        <v>20172.081383973462</v>
      </c>
    </row>
    <row r="17" spans="1:5">
      <c r="A17" s="23" t="s">
        <v>526</v>
      </c>
      <c r="B17" s="24">
        <v>1799.8222311163734</v>
      </c>
      <c r="C17" s="24">
        <v>200.67460606503843</v>
      </c>
      <c r="D17" s="24">
        <v>2323.9560782524409</v>
      </c>
      <c r="E17" s="25">
        <v>4324.4529154338525</v>
      </c>
    </row>
    <row r="18" spans="1:5">
      <c r="A18" s="23" t="s">
        <v>527</v>
      </c>
      <c r="B18" s="24">
        <v>0</v>
      </c>
      <c r="C18" s="24">
        <v>0</v>
      </c>
      <c r="D18" s="24">
        <v>115.89412190156595</v>
      </c>
      <c r="E18" s="25">
        <v>115.89412190156595</v>
      </c>
    </row>
    <row r="19" spans="1:5">
      <c r="A19" s="20" t="s">
        <v>528</v>
      </c>
      <c r="B19" s="21">
        <v>494.64150511215587</v>
      </c>
      <c r="C19" s="21">
        <v>558.22790794902312</v>
      </c>
      <c r="D19" s="21">
        <v>12123.007198015341</v>
      </c>
      <c r="E19" s="22">
        <v>13175.876611076519</v>
      </c>
    </row>
    <row r="20" spans="1:5">
      <c r="A20" s="23" t="s">
        <v>529</v>
      </c>
      <c r="B20" s="24">
        <v>494.64150511215587</v>
      </c>
      <c r="C20" s="24">
        <v>452.46735207074175</v>
      </c>
      <c r="D20" s="24">
        <v>11245.618461417211</v>
      </c>
      <c r="E20" s="25">
        <v>12192.727318600108</v>
      </c>
    </row>
    <row r="21" spans="1:5">
      <c r="A21" s="23" t="s">
        <v>530</v>
      </c>
      <c r="B21" s="24">
        <v>0</v>
      </c>
      <c r="C21" s="24">
        <v>105.76055587828138</v>
      </c>
      <c r="D21" s="24">
        <v>804.65285849969541</v>
      </c>
      <c r="E21" s="25">
        <v>910.41341437797678</v>
      </c>
    </row>
    <row r="22" spans="1:5" ht="15" thickBot="1">
      <c r="A22" s="26" t="s">
        <v>531</v>
      </c>
      <c r="B22" s="27">
        <v>0</v>
      </c>
      <c r="C22" s="27">
        <v>0</v>
      </c>
      <c r="D22" s="27">
        <v>72.735878098434085</v>
      </c>
      <c r="E22" s="28">
        <v>72.735878098434085</v>
      </c>
    </row>
    <row r="24" spans="1:5">
      <c r="A24" s="40" t="s">
        <v>532</v>
      </c>
    </row>
    <row r="26" spans="1:5">
      <c r="A26" t="s">
        <v>39</v>
      </c>
      <c r="B26" s="35">
        <f>B3+B7+B11+B15+B19</f>
        <v>23289.491214514437</v>
      </c>
      <c r="C26" s="35">
        <f>C3+C7+C11+C15+C19</f>
        <v>16078.627832261614</v>
      </c>
      <c r="D26" s="35">
        <f>D3+D7+D11+D15+D19</f>
        <v>181223.41309799522</v>
      </c>
      <c r="E26" s="35">
        <f>E3+E7+E11+E15+E19</f>
        <v>220591.53214477131</v>
      </c>
    </row>
  </sheetData>
  <mergeCells count="1">
    <mergeCell ref="B1:E1"/>
  </mergeCells>
  <hyperlinks>
    <hyperlink ref="A24" r:id="rId1" xr:uid="{124C9F51-73BB-4965-A06A-8BCED6B90CE0}"/>
  </hyperlinks>
  <pageMargins left="0.7" right="0.7" top="0.75" bottom="0.75" header="0.3" footer="0.3"/>
  <pageSetup orientation="portrait" horizontalDpi="1200" verticalDpi="1200"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19dbb668-428b-4cc0-a593-bbec74e27647" xsi:nil="true"/>
    <SharedWithUsers xmlns="19dbb668-428b-4cc0-a593-bbec74e27647">
      <UserInfo>
        <DisplayName/>
        <AccountId xsi:nil="true"/>
        <AccountType/>
      </UserInfo>
    </SharedWithUsers>
    <lcf76f155ced4ddcb4097134ff3c332f xmlns="dee1c29c-99e4-4d0f-b6e1-41a001082787">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CE844109C886D74D9E6AF8473E14CBE3" ma:contentTypeVersion="16" ma:contentTypeDescription="Create a new document." ma:contentTypeScope="" ma:versionID="c37972dcd237005c1f146490874ab55e">
  <xsd:schema xmlns:xsd="http://www.w3.org/2001/XMLSchema" xmlns:xs="http://www.w3.org/2001/XMLSchema" xmlns:p="http://schemas.microsoft.com/office/2006/metadata/properties" xmlns:ns2="dee1c29c-99e4-4d0f-b6e1-41a001082787" xmlns:ns3="19dbb668-428b-4cc0-a593-bbec74e27647" targetNamespace="http://schemas.microsoft.com/office/2006/metadata/properties" ma:root="true" ma:fieldsID="96d3774a0e26de9ecf827689ae478f94" ns2:_="" ns3:_="">
    <xsd:import namespace="dee1c29c-99e4-4d0f-b6e1-41a001082787"/>
    <xsd:import namespace="19dbb668-428b-4cc0-a593-bbec74e27647"/>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element ref="ns2:lcf76f155ced4ddcb4097134ff3c332f" minOccurs="0"/>
                <xsd:element ref="ns3:TaxCatchAll" minOccurs="0"/>
                <xsd:element ref="ns2:MediaServiceGenerationTime" minOccurs="0"/>
                <xsd:element ref="ns2:MediaServiceEventHashCode" minOccurs="0"/>
                <xsd:element ref="ns2:MediaServiceOCR" minOccurs="0"/>
                <xsd:element ref="ns2:MediaServiceDateTaken" minOccurs="0"/>
                <xsd:element ref="ns2:MediaServiceLocation" minOccurs="0"/>
                <xsd:element ref="ns2:MediaLengthInSeconds" minOccurs="0"/>
                <xsd:element ref="ns2:MediaServiceSearchPropertie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ee1c29c-99e4-4d0f-b6e1-41a00108278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Image Tags" ma:readOnly="false" ma:fieldId="{5cf76f15-5ced-4ddc-b409-7134ff3c332f}" ma:taxonomyMulti="true" ma:sspId="b5d298e1-810f-4711-8be9-ef4702f2a38a" ma:termSetId="09814cd3-568e-fe90-9814-8d621ff8fb84" ma:anchorId="fba54fb3-c3e1-fe81-a776-ca4b69148c4d" ma:open="true" ma:isKeyword="false">
      <xsd:complexType>
        <xsd:sequence>
          <xsd:element ref="pc:Terms" minOccurs="0" maxOccurs="1"/>
        </xsd:sequence>
      </xsd:complex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DateTaken" ma:index="19" nillable="true" ma:displayName="MediaServiceDateTaken" ma:hidden="true" ma:indexed="true" ma:internalName="MediaServiceDateTaken"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MediaServiceSearchProperties" ma:index="22" nillable="true" ma:displayName="MediaServiceSearchProperties" ma:hidden="true" ma:internalName="MediaServiceSearchProperties" ma:readOnly="true">
      <xsd:simpleType>
        <xsd:restriction base="dms:Note"/>
      </xsd:simpleType>
    </xsd:element>
    <xsd:element name="MediaServiceBillingMetadata" ma:index="23"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9dbb668-428b-4cc0-a593-bbec74e27647" elementFormDefault="qualified">
    <xsd:import namespace="http://schemas.microsoft.com/office/2006/documentManagement/types"/>
    <xsd:import namespace="http://schemas.microsoft.com/office/infopath/2007/PartnerControls"/>
    <xsd:element name="SharedWithUsers" ma:index="1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Shared With Details" ma:internalName="SharedWithDetails" ma:readOnly="true">
      <xsd:simpleType>
        <xsd:restriction base="dms:Note">
          <xsd:maxLength value="255"/>
        </xsd:restriction>
      </xsd:simpleType>
    </xsd:element>
    <xsd:element name="TaxCatchAll" ma:index="15" nillable="true" ma:displayName="Taxonomy Catch All Column" ma:hidden="true" ma:list="{3e7046d9-bb19-4a80-9236-4ca4220cc737}" ma:internalName="TaxCatchAll" ma:showField="CatchAllData" ma:web="19dbb668-428b-4cc0-a593-bbec74e2764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3865EDC-3974-4EC0-96AD-69312CDF7731}"/>
</file>

<file path=customXml/itemProps2.xml><?xml version="1.0" encoding="utf-8"?>
<ds:datastoreItem xmlns:ds="http://schemas.openxmlformats.org/officeDocument/2006/customXml" ds:itemID="{2B5327FD-1DDD-49E2-9362-313F22A02F57}"/>
</file>

<file path=customXml/itemProps3.xml><?xml version="1.0" encoding="utf-8"?>
<ds:datastoreItem xmlns:ds="http://schemas.openxmlformats.org/officeDocument/2006/customXml" ds:itemID="{F55BC687-FB9A-4563-9EDB-208D125CF37F}"/>
</file>

<file path=docMetadata/LabelInfo.xml><?xml version="1.0" encoding="utf-8"?>
<clbl:labelList xmlns:clbl="http://schemas.microsoft.com/office/2020/mipLabelMetadata">
  <clbl:label id="{59096ad9-8b60-446a-90b7-017dbb9421a3}" enabled="1" method="Standard" siteId="{3d234255-e20f-4205-88a5-9658a402999b}" removed="0"/>
</clbl:labelLis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Kuzio, Jacqueline</dc:creator>
  <cp:keywords/>
  <dc:description/>
  <cp:lastModifiedBy>Bisceglia, Michelle</cp:lastModifiedBy>
  <cp:revision/>
  <dcterms:created xsi:type="dcterms:W3CDTF">2020-07-07T17:26:04Z</dcterms:created>
  <dcterms:modified xsi:type="dcterms:W3CDTF">2025-09-26T19:30:23Z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0x010100CE844109C886D74D9E6AF8473E14CBE3</vt:lpwstr>
  </property>
  <property fmtid="{D5CDD505-2E9C-101B-9397-08002B2CF9AE}" pid="3" name="xd_ProgID">
    <vt:lpwstr/>
  </property>
  <property fmtid="{D5CDD505-2E9C-101B-9397-08002B2CF9AE}" pid="4" name="MediaServiceImageTags">
    <vt:lpwstr/>
  </property>
  <property fmtid="{D5CDD505-2E9C-101B-9397-08002B2CF9AE}" pid="5" name="ComplianceAssetId">
    <vt:lpwstr/>
  </property>
  <property fmtid="{D5CDD505-2E9C-101B-9397-08002B2CF9AE}" pid="6" name="TemplateUrl">
    <vt:lpwstr/>
  </property>
  <property fmtid="{D5CDD505-2E9C-101B-9397-08002B2CF9AE}" pid="7" name="_ExtendedDescription">
    <vt:lpwstr/>
  </property>
  <property fmtid="{D5CDD505-2E9C-101B-9397-08002B2CF9AE}" pid="8" name="TriggerFlowInfo">
    <vt:lpwstr/>
  </property>
  <property fmtid="{D5CDD505-2E9C-101B-9397-08002B2CF9AE}" pid="9" name="xd_Signature">
    <vt:bool>false</vt:bool>
  </property>
</Properties>
</file>